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492" yWindow="0" windowWidth="9600" windowHeight="12708" tabRatio="646"/>
  </bookViews>
  <sheets>
    <sheet name="Фармпрепараты" sheetId="3" r:id="rId1"/>
    <sheet name="Формула числа прописью (с НДС)" sheetId="4" r:id="rId2"/>
    <sheet name="Формула числа прописью (НДС)" sheetId="5" r:id="rId3"/>
  </sheets>
  <definedNames>
    <definedName name="_xlnm._FilterDatabase" localSheetId="0" hidden="1">Фармпрепараты!$A$6:$K$94</definedName>
    <definedName name="_xlnm.Print_Titles" localSheetId="0">Фармпрепараты!$6:$6</definedName>
    <definedName name="_xlnm.Print_Area" localSheetId="0">Фармпрепараты!$A$2:$J$105</definedName>
    <definedName name="Сегодня" localSheetId="2">'Формула числа прописью (НДС)'!$K$4</definedName>
    <definedName name="Сегодня">'Формула числа прописью (с НДС)'!$K$4</definedName>
  </definedNames>
  <calcPr calcId="145621"/>
</workbook>
</file>

<file path=xl/calcChain.xml><?xml version="1.0" encoding="utf-8"?>
<calcChain xmlns="http://schemas.openxmlformats.org/spreadsheetml/2006/main">
  <c r="A98" i="3" l="1"/>
  <c r="E17" i="3" l="1"/>
  <c r="G17" i="3"/>
  <c r="I17" i="3" s="1"/>
  <c r="E18" i="3"/>
  <c r="G18" i="3"/>
  <c r="I18" i="3" s="1"/>
  <c r="E19" i="3"/>
  <c r="G19" i="3"/>
  <c r="I19" i="3" s="1"/>
  <c r="E20" i="3"/>
  <c r="G20" i="3"/>
  <c r="I20" i="3" s="1"/>
  <c r="E21" i="3"/>
  <c r="G21" i="3"/>
  <c r="I21" i="3" s="1"/>
  <c r="E22" i="3"/>
  <c r="G22" i="3"/>
  <c r="I22" i="3" s="1"/>
  <c r="E23" i="3"/>
  <c r="G23" i="3"/>
  <c r="I23" i="3" s="1"/>
  <c r="E24" i="3"/>
  <c r="G24" i="3"/>
  <c r="I24" i="3" s="1"/>
  <c r="E25" i="3"/>
  <c r="G25" i="3"/>
  <c r="I25" i="3" s="1"/>
  <c r="E26" i="3"/>
  <c r="G26" i="3"/>
  <c r="I26" i="3" s="1"/>
  <c r="E27" i="3"/>
  <c r="G27" i="3"/>
  <c r="I27" i="3" s="1"/>
  <c r="E28" i="3"/>
  <c r="G28" i="3"/>
  <c r="I28" i="3" s="1"/>
  <c r="E29" i="3"/>
  <c r="G29" i="3"/>
  <c r="I29" i="3" s="1"/>
  <c r="E30" i="3"/>
  <c r="G30" i="3"/>
  <c r="I30" i="3" s="1"/>
  <c r="E31" i="3"/>
  <c r="G31" i="3"/>
  <c r="I31" i="3" s="1"/>
  <c r="E32" i="3"/>
  <c r="G32" i="3"/>
  <c r="I32" i="3" s="1"/>
  <c r="E33" i="3"/>
  <c r="G33" i="3"/>
  <c r="I33" i="3" s="1"/>
  <c r="E34" i="3"/>
  <c r="G34" i="3"/>
  <c r="I34" i="3" s="1"/>
  <c r="E35" i="3"/>
  <c r="G35" i="3"/>
  <c r="I35" i="3" s="1"/>
  <c r="E36" i="3"/>
  <c r="G36" i="3"/>
  <c r="I36" i="3" s="1"/>
  <c r="E37" i="3"/>
  <c r="G37" i="3"/>
  <c r="I37" i="3" s="1"/>
  <c r="E38" i="3"/>
  <c r="G38" i="3"/>
  <c r="I38" i="3" s="1"/>
  <c r="E39" i="3"/>
  <c r="G39" i="3"/>
  <c r="I39" i="3" s="1"/>
  <c r="E40" i="3"/>
  <c r="G40" i="3"/>
  <c r="I40" i="3" s="1"/>
  <c r="E41" i="3"/>
  <c r="G41" i="3"/>
  <c r="I41" i="3" s="1"/>
  <c r="E42" i="3"/>
  <c r="G42" i="3"/>
  <c r="I42" i="3" s="1"/>
  <c r="E43" i="3"/>
  <c r="G43" i="3"/>
  <c r="I43" i="3" s="1"/>
  <c r="E44" i="3"/>
  <c r="G44" i="3"/>
  <c r="I44" i="3" s="1"/>
  <c r="E45" i="3"/>
  <c r="G45" i="3"/>
  <c r="I45" i="3" s="1"/>
  <c r="E46" i="3"/>
  <c r="G46" i="3"/>
  <c r="I46" i="3" s="1"/>
  <c r="E47" i="3"/>
  <c r="G47" i="3"/>
  <c r="I47" i="3" s="1"/>
  <c r="E48" i="3"/>
  <c r="G48" i="3"/>
  <c r="I48" i="3" s="1"/>
  <c r="E49" i="3"/>
  <c r="G49" i="3"/>
  <c r="I49" i="3" s="1"/>
  <c r="E50" i="3"/>
  <c r="G50" i="3"/>
  <c r="I50" i="3" s="1"/>
  <c r="E51" i="3"/>
  <c r="G51" i="3"/>
  <c r="I51" i="3" s="1"/>
  <c r="E52" i="3"/>
  <c r="G52" i="3"/>
  <c r="I52" i="3" s="1"/>
  <c r="E53" i="3"/>
  <c r="G53" i="3"/>
  <c r="I53" i="3" s="1"/>
  <c r="E54" i="3"/>
  <c r="G54" i="3"/>
  <c r="I54" i="3" s="1"/>
  <c r="E55" i="3"/>
  <c r="G55" i="3"/>
  <c r="I55" i="3" s="1"/>
  <c r="E56" i="3"/>
  <c r="G56" i="3"/>
  <c r="I56" i="3" s="1"/>
  <c r="E57" i="3"/>
  <c r="G57" i="3"/>
  <c r="I57" i="3" s="1"/>
  <c r="E58" i="3"/>
  <c r="G58" i="3"/>
  <c r="I58" i="3" s="1"/>
  <c r="E59" i="3"/>
  <c r="G59" i="3"/>
  <c r="I59" i="3" s="1"/>
  <c r="E60" i="3"/>
  <c r="G60" i="3"/>
  <c r="I60" i="3" s="1"/>
  <c r="E61" i="3"/>
  <c r="G61" i="3"/>
  <c r="I61" i="3" s="1"/>
  <c r="E62" i="3"/>
  <c r="G62" i="3"/>
  <c r="I62" i="3" s="1"/>
  <c r="E63" i="3"/>
  <c r="G63" i="3"/>
  <c r="I63" i="3" s="1"/>
  <c r="E64" i="3"/>
  <c r="G64" i="3"/>
  <c r="I64" i="3" s="1"/>
  <c r="E65" i="3"/>
  <c r="G65" i="3"/>
  <c r="I65" i="3" s="1"/>
  <c r="E66" i="3"/>
  <c r="G66" i="3"/>
  <c r="I66" i="3" s="1"/>
  <c r="E67" i="3"/>
  <c r="G67" i="3"/>
  <c r="I67" i="3" s="1"/>
  <c r="E68" i="3"/>
  <c r="G68" i="3"/>
  <c r="I68" i="3" s="1"/>
  <c r="E69" i="3"/>
  <c r="G69" i="3"/>
  <c r="I69" i="3" s="1"/>
  <c r="E70" i="3"/>
  <c r="G70" i="3"/>
  <c r="I70" i="3" s="1"/>
  <c r="E71" i="3"/>
  <c r="G71" i="3"/>
  <c r="I71" i="3" s="1"/>
  <c r="E72" i="3"/>
  <c r="G72" i="3"/>
  <c r="I72" i="3" s="1"/>
  <c r="E73" i="3"/>
  <c r="G73" i="3"/>
  <c r="I73" i="3" s="1"/>
  <c r="E74" i="3"/>
  <c r="G74" i="3"/>
  <c r="I74" i="3" s="1"/>
  <c r="E75" i="3"/>
  <c r="G75" i="3"/>
  <c r="I75" i="3" s="1"/>
  <c r="E76" i="3"/>
  <c r="G76" i="3"/>
  <c r="I76" i="3" s="1"/>
  <c r="E77" i="3"/>
  <c r="G77" i="3"/>
  <c r="I77" i="3" s="1"/>
  <c r="E78" i="3"/>
  <c r="G78" i="3"/>
  <c r="I78" i="3" s="1"/>
  <c r="E79" i="3"/>
  <c r="G79" i="3"/>
  <c r="I79" i="3" s="1"/>
  <c r="E80" i="3"/>
  <c r="G80" i="3"/>
  <c r="I80" i="3" s="1"/>
  <c r="E81" i="3"/>
  <c r="G81" i="3"/>
  <c r="I81" i="3" s="1"/>
  <c r="E82" i="3"/>
  <c r="G82" i="3"/>
  <c r="I82" i="3" s="1"/>
  <c r="E83" i="3"/>
  <c r="G83" i="3"/>
  <c r="I83" i="3" s="1"/>
  <c r="E84" i="3"/>
  <c r="G84" i="3"/>
  <c r="I84" i="3" s="1"/>
  <c r="E85" i="3"/>
  <c r="G85" i="3"/>
  <c r="I85" i="3" s="1"/>
  <c r="E86" i="3"/>
  <c r="G86" i="3"/>
  <c r="I86" i="3" s="1"/>
  <c r="E87" i="3"/>
  <c r="G87" i="3"/>
  <c r="I87" i="3" s="1"/>
  <c r="E88" i="3"/>
  <c r="G88" i="3"/>
  <c r="I88" i="3" s="1"/>
  <c r="E89" i="3"/>
  <c r="G89" i="3"/>
  <c r="I89" i="3" s="1"/>
  <c r="E90" i="3"/>
  <c r="G90" i="3"/>
  <c r="I90" i="3" s="1"/>
  <c r="E91" i="3"/>
  <c r="G91" i="3"/>
  <c r="I91" i="3" s="1"/>
  <c r="E92" i="3"/>
  <c r="G92" i="3"/>
  <c r="I92" i="3" s="1"/>
  <c r="E93" i="3"/>
  <c r="G93" i="3"/>
  <c r="I93" i="3" s="1"/>
  <c r="H93" i="3" l="1"/>
  <c r="H91" i="3"/>
  <c r="H89" i="3"/>
  <c r="H88" i="3"/>
  <c r="H85" i="3"/>
  <c r="H84" i="3"/>
  <c r="H81" i="3"/>
  <c r="H79" i="3"/>
  <c r="H77" i="3"/>
  <c r="H75" i="3"/>
  <c r="H73" i="3"/>
  <c r="H71" i="3"/>
  <c r="H69" i="3"/>
  <c r="H67" i="3"/>
  <c r="H65" i="3"/>
  <c r="H62" i="3"/>
  <c r="H60" i="3"/>
  <c r="H58" i="3"/>
  <c r="H57" i="3"/>
  <c r="H55" i="3"/>
  <c r="H53" i="3"/>
  <c r="H51" i="3"/>
  <c r="H49" i="3"/>
  <c r="H48" i="3"/>
  <c r="H47" i="3"/>
  <c r="H46" i="3"/>
  <c r="H45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92" i="3"/>
  <c r="H90" i="3"/>
  <c r="H87" i="3"/>
  <c r="H86" i="3"/>
  <c r="H83" i="3"/>
  <c r="H82" i="3"/>
  <c r="H80" i="3"/>
  <c r="H78" i="3"/>
  <c r="H76" i="3"/>
  <c r="H74" i="3"/>
  <c r="H72" i="3"/>
  <c r="H70" i="3"/>
  <c r="H68" i="3"/>
  <c r="H66" i="3"/>
  <c r="H64" i="3"/>
  <c r="H63" i="3"/>
  <c r="H61" i="3"/>
  <c r="H59" i="3"/>
  <c r="H56" i="3"/>
  <c r="H54" i="3"/>
  <c r="H52" i="3"/>
  <c r="H50" i="3"/>
  <c r="H44" i="3"/>
  <c r="E7" i="3"/>
  <c r="G7" i="3"/>
  <c r="E8" i="3"/>
  <c r="G8" i="3"/>
  <c r="I8" i="3" s="1"/>
  <c r="E9" i="3"/>
  <c r="G9" i="3"/>
  <c r="I9" i="3" s="1"/>
  <c r="E10" i="3"/>
  <c r="G10" i="3"/>
  <c r="I10" i="3" s="1"/>
  <c r="E11" i="3"/>
  <c r="G11" i="3"/>
  <c r="I11" i="3" s="1"/>
  <c r="E12" i="3"/>
  <c r="G12" i="3"/>
  <c r="I12" i="3" s="1"/>
  <c r="E13" i="3"/>
  <c r="G13" i="3"/>
  <c r="I13" i="3" s="1"/>
  <c r="E14" i="3"/>
  <c r="G14" i="3"/>
  <c r="I14" i="3" s="1"/>
  <c r="E15" i="3"/>
  <c r="G15" i="3"/>
  <c r="I15" i="3" s="1"/>
  <c r="E16" i="3"/>
  <c r="G16" i="3"/>
  <c r="I16" i="3" s="1"/>
  <c r="I7" i="3" l="1"/>
  <c r="I94" i="3" s="1"/>
  <c r="G94" i="3"/>
  <c r="H16" i="3"/>
  <c r="H14" i="3"/>
  <c r="H12" i="3"/>
  <c r="H10" i="3"/>
  <c r="H15" i="3"/>
  <c r="H13" i="3"/>
  <c r="H11" i="3"/>
  <c r="H9" i="3"/>
  <c r="H8" i="3"/>
  <c r="H7" i="3"/>
  <c r="H94" i="3" s="1"/>
  <c r="M12" i="5"/>
  <c r="N3" i="5"/>
  <c r="Q4" i="5" s="1"/>
  <c r="M12" i="4"/>
  <c r="N3" i="4"/>
  <c r="S4" i="5" l="1"/>
  <c r="S3" i="5"/>
  <c r="R3" i="5"/>
  <c r="P3" i="5"/>
  <c r="Q4" i="4"/>
  <c r="S3" i="4" s="1"/>
  <c r="R3" i="4"/>
  <c r="P3" i="4"/>
  <c r="Q3" i="5" l="1"/>
  <c r="K4" i="5" s="1"/>
  <c r="S4" i="4"/>
  <c r="Q3" i="4" s="1"/>
  <c r="K4" i="4" s="1"/>
  <c r="E2" i="5" l="1"/>
  <c r="E13" i="5" s="1"/>
  <c r="A29" i="5" s="1"/>
  <c r="E2" i="4"/>
  <c r="A31" i="5" l="1"/>
  <c r="B29" i="5"/>
  <c r="E29" i="5" s="1"/>
  <c r="A28" i="5"/>
  <c r="E13" i="4"/>
  <c r="A29" i="4" s="1"/>
  <c r="A31" i="4" l="1"/>
  <c r="C31" i="4" s="1"/>
  <c r="C32" i="4" s="1"/>
  <c r="E32" i="4" s="1"/>
  <c r="B29" i="4"/>
  <c r="E29" i="4" s="1"/>
  <c r="A28" i="4"/>
  <c r="A27" i="5"/>
  <c r="B28" i="5"/>
  <c r="C31" i="5"/>
  <c r="E31" i="5" l="1"/>
  <c r="A25" i="5"/>
  <c r="B27" i="5"/>
  <c r="C32" i="5"/>
  <c r="E32" i="5" s="1"/>
  <c r="C28" i="5"/>
  <c r="E28" i="5" s="1"/>
  <c r="C29" i="5"/>
  <c r="A27" i="4"/>
  <c r="B28" i="4"/>
  <c r="E31" i="4"/>
  <c r="A12" i="4"/>
  <c r="E27" i="5" l="1"/>
  <c r="C27" i="5"/>
  <c r="E30" i="5"/>
  <c r="B27" i="4"/>
  <c r="A25" i="4"/>
  <c r="C28" i="4"/>
  <c r="E28" i="4" s="1"/>
  <c r="C29" i="4"/>
  <c r="D29" i="5"/>
  <c r="F29" i="5"/>
  <c r="B25" i="5"/>
  <c r="E25" i="5" s="1"/>
  <c r="A24" i="5"/>
  <c r="A12" i="5"/>
  <c r="A23" i="5" l="1"/>
  <c r="B24" i="5"/>
  <c r="D29" i="4"/>
  <c r="F29" i="4"/>
  <c r="B25" i="4"/>
  <c r="E25" i="4" s="1"/>
  <c r="A24" i="4"/>
  <c r="E30" i="4"/>
  <c r="E27" i="4"/>
  <c r="C27" i="4"/>
  <c r="B24" i="4" l="1"/>
  <c r="A23" i="4"/>
  <c r="C24" i="5"/>
  <c r="E24" i="5" s="1"/>
  <c r="C25" i="5"/>
  <c r="B23" i="5"/>
  <c r="A21" i="5"/>
  <c r="A20" i="5" l="1"/>
  <c r="B21" i="5"/>
  <c r="F25" i="5"/>
  <c r="D25" i="5"/>
  <c r="B23" i="4"/>
  <c r="A21" i="4"/>
  <c r="C23" i="5"/>
  <c r="E26" i="5"/>
  <c r="E23" i="5"/>
  <c r="C24" i="4"/>
  <c r="E24" i="4" s="1"/>
  <c r="C25" i="4"/>
  <c r="D25" i="4" l="1"/>
  <c r="F25" i="4"/>
  <c r="F26" i="5"/>
  <c r="A10" i="5" s="1"/>
  <c r="B21" i="4"/>
  <c r="A20" i="4"/>
  <c r="E21" i="5"/>
  <c r="E23" i="4"/>
  <c r="C23" i="4"/>
  <c r="E26" i="4"/>
  <c r="A19" i="5"/>
  <c r="B20" i="5"/>
  <c r="C21" i="5" l="1"/>
  <c r="C20" i="5"/>
  <c r="E20" i="5" s="1"/>
  <c r="F26" i="4"/>
  <c r="A10" i="4" s="1"/>
  <c r="A19" i="4"/>
  <c r="B20" i="4"/>
  <c r="B19" i="5"/>
  <c r="A17" i="5"/>
  <c r="E21" i="4"/>
  <c r="E19" i="5" l="1"/>
  <c r="C19" i="5"/>
  <c r="A17" i="4"/>
  <c r="B19" i="4"/>
  <c r="A16" i="5"/>
  <c r="B17" i="5"/>
  <c r="C21" i="4"/>
  <c r="C20" i="4"/>
  <c r="E20" i="4" s="1"/>
  <c r="E22" i="5"/>
  <c r="F21" i="5"/>
  <c r="D21" i="5"/>
  <c r="F22" i="5" l="1"/>
  <c r="A9" i="5" s="1"/>
  <c r="D21" i="4"/>
  <c r="F21" i="4"/>
  <c r="B16" i="5"/>
  <c r="A15" i="5"/>
  <c r="B17" i="4"/>
  <c r="A16" i="4"/>
  <c r="E17" i="5"/>
  <c r="C19" i="4"/>
  <c r="E19" i="4"/>
  <c r="E22" i="4"/>
  <c r="F22" i="4" l="1"/>
  <c r="A9" i="4" s="1"/>
  <c r="B16" i="4"/>
  <c r="A15" i="4"/>
  <c r="B15" i="5"/>
  <c r="A14" i="5"/>
  <c r="E17" i="4"/>
  <c r="C16" i="5"/>
  <c r="E16" i="5" s="1"/>
  <c r="C17" i="5"/>
  <c r="D17" i="5" l="1"/>
  <c r="F17" i="5"/>
  <c r="A14" i="4"/>
  <c r="B15" i="4"/>
  <c r="E15" i="5"/>
  <c r="C15" i="5"/>
  <c r="E18" i="5"/>
  <c r="C17" i="4"/>
  <c r="C16" i="4"/>
  <c r="E16" i="4" s="1"/>
  <c r="D17" i="4" l="1"/>
  <c r="F17" i="4"/>
  <c r="F18" i="5"/>
  <c r="A8" i="5" s="1"/>
  <c r="F30" i="5"/>
  <c r="A11" i="5" s="1"/>
  <c r="E15" i="4"/>
  <c r="C15" i="4"/>
  <c r="E18" i="4"/>
  <c r="B5" i="5" l="1"/>
  <c r="B6" i="5"/>
  <c r="F18" i="4"/>
  <c r="A8" i="4" s="1"/>
  <c r="F30" i="4"/>
  <c r="A11" i="4" s="1"/>
  <c r="F8" i="5" l="1"/>
  <c r="F9" i="5" s="1"/>
  <c r="F10" i="5" s="1"/>
  <c r="B6" i="4"/>
  <c r="B5" i="4"/>
  <c r="B3" i="5" l="1"/>
  <c r="F8" i="4"/>
  <c r="F9" i="4" s="1"/>
  <c r="F10" i="4" s="1"/>
  <c r="B4" i="5"/>
  <c r="B4" i="4" l="1"/>
  <c r="B3" i="4"/>
</calcChain>
</file>

<file path=xl/comments1.xml><?xml version="1.0" encoding="utf-8"?>
<comments xmlns="http://schemas.openxmlformats.org/spreadsheetml/2006/main">
  <authors>
    <author>Ok</author>
  </authors>
  <commentList>
    <comment ref="E2" authorId="0">
      <text>
        <r>
          <rPr>
            <b/>
            <sz val="8"/>
            <color indexed="81"/>
            <rFont val="Tahoma"/>
            <family val="2"/>
            <charset val="204"/>
          </rPr>
          <t>Ok:</t>
        </r>
        <r>
          <rPr>
            <sz val="8"/>
            <color indexed="81"/>
            <rFont val="Tahoma"/>
            <family val="2"/>
            <charset val="204"/>
          </rPr>
          <t xml:space="preserve">
Здесь надо вставить ссылку на первый лист, откуда берётся число для прописи. В данном примере это 'счёт-факт' ячейка I31 - "Итого"</t>
        </r>
      </text>
    </comment>
  </commentList>
</comments>
</file>

<file path=xl/comments2.xml><?xml version="1.0" encoding="utf-8"?>
<comments xmlns="http://schemas.openxmlformats.org/spreadsheetml/2006/main">
  <authors>
    <author>Ok</author>
  </authors>
  <commentList>
    <comment ref="E2" authorId="0">
      <text>
        <r>
          <rPr>
            <b/>
            <sz val="8"/>
            <color indexed="81"/>
            <rFont val="Tahoma"/>
            <family val="2"/>
            <charset val="204"/>
          </rPr>
          <t>Ok:</t>
        </r>
        <r>
          <rPr>
            <sz val="8"/>
            <color indexed="81"/>
            <rFont val="Tahoma"/>
            <family val="2"/>
            <charset val="204"/>
          </rPr>
          <t xml:space="preserve">
Здесь надо вставить ссылку на первый лист, откуда берётся число для прописи. В данном примере это 'счёт-факт' ячейка I31 - "Итого"</t>
        </r>
      </text>
    </comment>
  </commentList>
</comments>
</file>

<file path=xl/sharedStrings.xml><?xml version="1.0" encoding="utf-8"?>
<sst xmlns="http://schemas.openxmlformats.org/spreadsheetml/2006/main" count="471" uniqueCount="248">
  <si>
    <t>№</t>
  </si>
  <si>
    <t>Кол-во</t>
  </si>
  <si>
    <t>ВСЕГО:</t>
  </si>
  <si>
    <t>Цена без НДС, руб с транспортными расходами</t>
  </si>
  <si>
    <t>Стоимость без НДС, руб.  с транспортными расходами</t>
  </si>
  <si>
    <t>Сумма НДС, руб.  с транспортными расходами</t>
  </si>
  <si>
    <t>Стоимость с НДС,  руб.  с транспортными расходами</t>
  </si>
  <si>
    <t>Цена без НДС, руб. без учета транспортных расходов</t>
  </si>
  <si>
    <t xml:space="preserve">Спецификация </t>
  </si>
  <si>
    <t>Ед. изм</t>
  </si>
  <si>
    <t>1</t>
  </si>
  <si>
    <t>В ячейке Е2 должна быть ссылка на исходное число</t>
  </si>
  <si>
    <t>Заглавная без НДС</t>
  </si>
  <si>
    <t xml:space="preserve">Сегодня с утра судя по всему было </t>
  </si>
  <si>
    <t>Заглавная с НДС</t>
  </si>
  <si>
    <t>маленькая без НДС</t>
  </si>
  <si>
    <t>маленькая с НДС</t>
  </si>
  <si>
    <t>Для справки - смотрите примечания к ячейкам E4 B8 B9 этого листа и H2 и C34 предыдущего.</t>
  </si>
  <si>
    <t>рублей</t>
  </si>
  <si>
    <t>коп.</t>
  </si>
  <si>
    <t xml:space="preserve">один </t>
  </si>
  <si>
    <t xml:space="preserve">одна </t>
  </si>
  <si>
    <t xml:space="preserve">десять </t>
  </si>
  <si>
    <t xml:space="preserve">два </t>
  </si>
  <si>
    <t xml:space="preserve">две </t>
  </si>
  <si>
    <t xml:space="preserve">одиннадцать </t>
  </si>
  <si>
    <t xml:space="preserve">двадцать </t>
  </si>
  <si>
    <t xml:space="preserve">двести </t>
  </si>
  <si>
    <t xml:space="preserve">три </t>
  </si>
  <si>
    <t xml:space="preserve">двенадцать </t>
  </si>
  <si>
    <t xml:space="preserve">тридцать </t>
  </si>
  <si>
    <t xml:space="preserve">триста </t>
  </si>
  <si>
    <t xml:space="preserve">четыре </t>
  </si>
  <si>
    <t xml:space="preserve">тринадцать </t>
  </si>
  <si>
    <t xml:space="preserve">сорок </t>
  </si>
  <si>
    <t xml:space="preserve">четыреста </t>
  </si>
  <si>
    <t xml:space="preserve">пять </t>
  </si>
  <si>
    <t xml:space="preserve">четырнадцать </t>
  </si>
  <si>
    <t xml:space="preserve">пятьдесят </t>
  </si>
  <si>
    <t xml:space="preserve">пятьсот </t>
  </si>
  <si>
    <t xml:space="preserve">шесть </t>
  </si>
  <si>
    <t xml:space="preserve">пятнадцать </t>
  </si>
  <si>
    <t xml:space="preserve">шестьдесят </t>
  </si>
  <si>
    <t xml:space="preserve">шестьсот </t>
  </si>
  <si>
    <t xml:space="preserve">семь </t>
  </si>
  <si>
    <t xml:space="preserve">шестнадцать </t>
  </si>
  <si>
    <t xml:space="preserve">семьдесят </t>
  </si>
  <si>
    <t xml:space="preserve">семьсот </t>
  </si>
  <si>
    <t xml:space="preserve">восемь </t>
  </si>
  <si>
    <t xml:space="preserve">семнадцать </t>
  </si>
  <si>
    <t xml:space="preserve">восемьдесят </t>
  </si>
  <si>
    <t xml:space="preserve">восемьсот </t>
  </si>
  <si>
    <t xml:space="preserve">девять </t>
  </si>
  <si>
    <t xml:space="preserve">восемнадцать </t>
  </si>
  <si>
    <t xml:space="preserve">девяносто </t>
  </si>
  <si>
    <t xml:space="preserve">девятьсот </t>
  </si>
  <si>
    <t xml:space="preserve">девятнадцать </t>
  </si>
  <si>
    <t xml:space="preserve">сто </t>
  </si>
  <si>
    <t xml:space="preserve">Автор : Ap0st0l  |  Рихтовал: 0legator     ©2005 </t>
  </si>
  <si>
    <t>http://www.allok.ru/</t>
  </si>
  <si>
    <t>Замечания и пожелания - сюда:</t>
  </si>
  <si>
    <t>olegator@allok.ru</t>
  </si>
  <si>
    <t>© Олег Оксанич 2005г  www.allok.ru</t>
  </si>
  <si>
    <r>
      <t xml:space="preserve"> </t>
    </r>
    <r>
      <rPr>
        <sz val="10"/>
        <color indexed="48"/>
        <rFont val="Arial Cyr"/>
        <charset val="204"/>
      </rPr>
      <t xml:space="preserve"> &amp; Ap0st0l</t>
    </r>
  </si>
  <si>
    <t>Дополнительные требования по качеству и комплектности:</t>
  </si>
  <si>
    <t>Гарантийные требования: наличие гарантийных обязательств завода-изготовителя.</t>
  </si>
  <si>
    <t>обязанность поставщика направлять одновременно с продукцией технические паспорта, сертификаты на продукцию, а также сертификаты соответствия и пожаробезопасности на всю продукцию, подлежащую сертификации. Продукция должна быть новой и ранее не использованной.</t>
  </si>
  <si>
    <t>Наименование продукции, тип, марка, краткая техническая характеристика*</t>
  </si>
  <si>
    <t>Срок поставки</t>
  </si>
  <si>
    <t>до 31.12. 2015</t>
  </si>
  <si>
    <t>2</t>
  </si>
  <si>
    <t>3</t>
  </si>
  <si>
    <t>4</t>
  </si>
  <si>
    <t>5</t>
  </si>
  <si>
    <t>6</t>
  </si>
  <si>
    <t>7</t>
  </si>
  <si>
    <t>8</t>
  </si>
  <si>
    <t>10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</si>
  <si>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</si>
  <si>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</si>
  <si>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</si>
  <si>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</si>
  <si>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</si>
  <si>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</si>
  <si>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</si>
  <si>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</si>
  <si>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</si>
  <si>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</si>
  <si>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</si>
  <si>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</si>
  <si>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</si>
  <si>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</si>
  <si>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</si>
  <si>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</si>
  <si>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</si>
  <si>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</si>
  <si>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</si>
  <si>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</si>
  <si>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</si>
  <si>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</si>
  <si>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</si>
  <si>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</si>
  <si>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</si>
  <si>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</si>
  <si>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</si>
  <si>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</si>
  <si>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</si>
  <si>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</si>
  <si>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</si>
  <si>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</si>
  <si>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</si>
  <si>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</si>
  <si>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</si>
  <si>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</si>
  <si>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</si>
  <si>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</si>
  <si>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</si>
  <si>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</si>
  <si>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</si>
  <si>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</si>
  <si>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</si>
  <si>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</si>
  <si>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</si>
  <si>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</si>
  <si>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</si>
  <si>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</si>
  <si>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</si>
  <si>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</si>
  <si>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</si>
  <si>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</si>
  <si>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</si>
  <si>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</si>
  <si>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</si>
  <si>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</si>
  <si>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</si>
  <si>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</si>
  <si>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</si>
  <si>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</si>
  <si>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</si>
  <si>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</si>
  <si>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</si>
  <si>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</si>
  <si>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</si>
  <si>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</si>
  <si>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</si>
  <si>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</si>
  <si>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</si>
  <si>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</si>
  <si>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</si>
  <si>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</si>
  <si>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</si>
  <si>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</si>
  <si>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</si>
  <si>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</si>
  <si>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</si>
  <si>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</si>
  <si>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r>
      <t xml:space="preserve">Заказ на </t>
    </r>
    <r>
      <rPr>
        <b/>
        <u/>
        <sz val="14"/>
        <rFont val="Times New Roman"/>
        <family val="1"/>
        <charset val="204"/>
      </rPr>
      <t xml:space="preserve">Поставку фармацевтических  препаратов, медицинских химических вещества и лекарственных растительных продуктов (НДС 10%), требующих лицензии на осуществление фармацевтической деятельности для нужд  ООО «Газпром трансгаз Саратов»   </t>
    </r>
  </si>
  <si>
    <t>Аваксим вакцина суспенз.д/введ.0,5мл N1</t>
  </si>
  <si>
    <t>УП</t>
  </si>
  <si>
    <t>Адреналина г/х 0,1% 1мл №5 амп.р-р д/ин</t>
  </si>
  <si>
    <t>ШТ</t>
  </si>
  <si>
    <t>Актовегин 0,2% 5 мл N 5 амп. р-р д/инъек</t>
  </si>
  <si>
    <t>Актрапид НМ фл 100 ед/мл 10 мл</t>
  </si>
  <si>
    <t>Алкаин 0,5% гл. капли 15 мл</t>
  </si>
  <si>
    <t>Аммиак 10% 40мл №1 фл.р-р</t>
  </si>
  <si>
    <t>Анаприлин 40мг № 50 таб.</t>
  </si>
  <si>
    <t>Анатоксин  АДС-М 1 мл/2 дозы №10</t>
  </si>
  <si>
    <t>Анатоксин столбнячный АС 1 мл/2 дозы №10</t>
  </si>
  <si>
    <t>Аскорбин.к-та 5% 2мл N10 амп.р-р д/инъек</t>
  </si>
  <si>
    <t>Бетасерк 16мг N30 таблетки</t>
  </si>
  <si>
    <t>Борной кислоты спирт.р-р 3% 10 мл</t>
  </si>
  <si>
    <t>ФЛ</t>
  </si>
  <si>
    <t>Бриллиантовый зеленый 1% 10мл №1 фл.р-р</t>
  </si>
  <si>
    <t>Вакцина Вианвак 0,5мл/доза N10</t>
  </si>
  <si>
    <t>Вигамокс глазные капли 0.5%, 5мл</t>
  </si>
  <si>
    <t>Галидор амп. № 10</t>
  </si>
  <si>
    <t>Гидрокортизон 0,5%3гN1 туба мазь глазная</t>
  </si>
  <si>
    <t>Гидрокортизон мазь 1% 10,0</t>
  </si>
  <si>
    <t>Гидрокортизон сусп.д/ин 125мг/5мл</t>
  </si>
  <si>
    <t>Глиатилин 1г 4мл №3 амп.</t>
  </si>
  <si>
    <t>Глюкоза 5% 200мл</t>
  </si>
  <si>
    <t>Губка гемостатическая 5*5см №1</t>
  </si>
  <si>
    <t>Дексаметазон 0,1% 5мл, глазные капли</t>
  </si>
  <si>
    <t>Дибазол 1% 5мл №10 амп.р-р д/ин</t>
  </si>
  <si>
    <t>Дипроспан ампулы 1мл № 5</t>
  </si>
  <si>
    <t>Дона р-р для в/м введ. 200мг/мл амп. 2 мл №6 + р-ль</t>
  </si>
  <si>
    <t>Дуотрав глазные капли 2.5 мг</t>
  </si>
  <si>
    <t>Кавинтон 5мг/1мл 2мл N10 амп.р-р д/инъек</t>
  </si>
  <si>
    <t>Калия хлорид 4% №10</t>
  </si>
  <si>
    <t>Капотен 25мг №56</t>
  </si>
  <si>
    <t>Компл.д/инъек.стом.с Ультр.игла 27Gх35mm</t>
  </si>
  <si>
    <t>Компл.д/инъекций стомат.с Ультр.игла 25G</t>
  </si>
  <si>
    <t>Корвалол 25мл</t>
  </si>
  <si>
    <t>Кортексин 10 мг №10</t>
  </si>
  <si>
    <t>Красгемодез 8000 р-р д/инфузий 200 мл фл</t>
  </si>
  <si>
    <t>Лидаза амп.64 ед №10</t>
  </si>
  <si>
    <t>Лидокаин 10% 38г №1 фл.спрей</t>
  </si>
  <si>
    <t>Лидокаина г/х 2% 2мл N10 амп. р-р д/ин</t>
  </si>
  <si>
    <t>Магния сульфат 25% 10мл №10</t>
  </si>
  <si>
    <t>Максидекс глазные капли 0,1% 5,0</t>
  </si>
  <si>
    <t>Мексидол 5% 2мл №10</t>
  </si>
  <si>
    <t>Мидокалм 100мг/1мл N5 раствор д/инъекций</t>
  </si>
  <si>
    <t>Мильгамма 2мл N5 ампулы раствор для инъекций</t>
  </si>
  <si>
    <t>Мирамистин 0,01% 150мл с распылителем</t>
  </si>
  <si>
    <t>Мовалис 15мг/1,5мл №3 амп.р-р д/ин.</t>
  </si>
  <si>
    <t>Натрия аденозинтрифосфат р-р для в/в введ. амп. 10 мг/мл 1мл №10</t>
  </si>
  <si>
    <t>Натрия хлорид 0,9% 10мл N10 амп.р-р д/ин</t>
  </si>
  <si>
    <t>Натрия хлорид 0.9% 200 мл фл.</t>
  </si>
  <si>
    <t>Нафтизин 0,1% 10,0</t>
  </si>
  <si>
    <t>Никс крем 1% флакон 59 мл</t>
  </si>
  <si>
    <t>Нитроглицерин 0,5 №40</t>
  </si>
  <si>
    <t>Новокаин 0,5% 5мл №10амп. раств.д/инъекц</t>
  </si>
  <si>
    <t>Нурофен табл. №24</t>
  </si>
  <si>
    <t>Оксиал 0,15% 10мл, р-р офтальм.увл.</t>
  </si>
  <si>
    <t>Омнипак 350мг/мл 20мл р-р д/инъекц. N25</t>
  </si>
  <si>
    <t>Опатанол 0,1% 5 мл гл.капли</t>
  </si>
  <si>
    <t>Офтальмоферон гл.капли 10мл</t>
  </si>
  <si>
    <t>Пантенол аэрозоль 130,0</t>
  </si>
  <si>
    <t>Перекись водорода р-р 3%-100,0</t>
  </si>
  <si>
    <t>Перфалган 100 мл N 12 флакон</t>
  </si>
  <si>
    <t>Пирацетам 20% 5мл №10 амп.р-р д/ин.</t>
  </si>
  <si>
    <t>Повязка Воскопран с мазью Левомеколь 5х7,5см N5</t>
  </si>
  <si>
    <t>Повязка Воскопран с маз.метил5*7,5</t>
  </si>
  <si>
    <t>Полинадим гл. кап. 10 мл фл.Б.</t>
  </si>
  <si>
    <t>Преднизолон 1мл 25мг/мл №3</t>
  </si>
  <si>
    <t>Ретиналамин пор лиоф д/ин 5мг N10</t>
  </si>
  <si>
    <t>Салициловая кислота 2% 40мл</t>
  </si>
  <si>
    <t>Слеза натур. офт. раствор 15 мл</t>
  </si>
  <si>
    <t>Солкосерил ампула N5</t>
  </si>
  <si>
    <t>Солкосерил дент.адгезв.паста 5г N1 туба</t>
  </si>
  <si>
    <t>Стрептомицина сульфат 1 г</t>
  </si>
  <si>
    <t>стрептоцид пор 2 г</t>
  </si>
  <si>
    <t>Супрастин 20мг/мл N5, амп.</t>
  </si>
  <si>
    <t>Тетрациклин глаз. мазь 1% 3г</t>
  </si>
  <si>
    <t>Тиоктацид 600Т 600мг/24мл амп.№5</t>
  </si>
  <si>
    <t>Трипсин</t>
  </si>
  <si>
    <t>Флуимуцил 300мг/3 мл N5 амп.р-р д/инг</t>
  </si>
  <si>
    <t>Хлоргексидин биглюконат 0,05% 100мл</t>
  </si>
  <si>
    <t>Цераксон 1000 мг ампула N5</t>
  </si>
  <si>
    <t>Цераксон 500 мг ампула N5</t>
  </si>
  <si>
    <t>Церебролизин амп 10мл №5</t>
  </si>
  <si>
    <t>Цефтриаксон 1г.</t>
  </si>
  <si>
    <t>Цитофлавин10млN10ампулы раствор д/инъекц</t>
  </si>
  <si>
    <t>Эмоксипин 1%1млN10 ампулы раст.д/инъек</t>
  </si>
  <si>
    <t>Энцевир (вакцина) 0.5 мл</t>
  </si>
  <si>
    <t>Эссенциале Н 250мг/5млN5 амп.р-р д/инъек</t>
  </si>
  <si>
    <t>Эуфиллин 2,4 % 10мл N10 амп. р-р д/инъек</t>
  </si>
  <si>
    <t xml:space="preserve">*В таблице  указаны предельные цены по каждой позиции номенклатуры. Цены, указываемые в заявке на участие в Запросе предложений, не должны превышать указанные предельные цены (стлбц. 5-9) позиции номенклатуры.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</si>
</sst>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\ mmmm\,\ yyyy"/>
    <numFmt numFmtId="165" formatCode="_-* #,##0.00[$р.-419]_-;\-* #,##0.00[$р.-419]_-;_-* &quot;-&quot;??[$р.-419]_-;_-@_-"/>
  </numFmts>
  <fonts count="57">
    <font>
      <sz val="10"/>
      <name val="Arial Cyr"/>
      <charset val="204"/>
    </font>
    <font>
      <sz val="8"/>
      <name val="Arial Cyr"/>
      <charset val="204"/>
    </font>
    <font>
      <u/>
      <sz val="10"/>
      <color indexed="12"/>
      <name val="Arial Cyr"/>
      <charset val="204"/>
    </font>
    <font>
      <sz val="12"/>
      <name val="Baltica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"/>
      <family val="2"/>
      <charset val="204"/>
    </font>
    <font>
      <b/>
      <sz val="28"/>
      <color indexed="13"/>
      <name val="Arial Cyr"/>
      <charset val="204"/>
    </font>
    <font>
      <b/>
      <sz val="12"/>
      <name val="Arial Cyr"/>
      <family val="2"/>
      <charset val="204"/>
    </font>
    <font>
      <b/>
      <sz val="10"/>
      <name val="Arial Cyr"/>
    </font>
    <font>
      <sz val="8"/>
      <color indexed="17"/>
      <name val="Arial Cyr"/>
      <family val="2"/>
      <charset val="204"/>
    </font>
    <font>
      <sz val="10"/>
      <name val="Times New Roman"/>
      <family val="1"/>
    </font>
    <font>
      <b/>
      <sz val="12"/>
      <color indexed="14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12"/>
      <name val="Arial Cyr"/>
      <family val="2"/>
      <charset val="204"/>
    </font>
    <font>
      <sz val="8"/>
      <color indexed="17"/>
      <name val="Arial Cyr"/>
      <charset val="204"/>
    </font>
    <font>
      <sz val="12"/>
      <color indexed="10"/>
      <name val="Arial Cyr"/>
      <family val="2"/>
      <charset val="204"/>
    </font>
    <font>
      <sz val="10"/>
      <color indexed="15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indexed="10"/>
      <name val="Arial Cyr"/>
      <family val="2"/>
      <charset val="204"/>
    </font>
    <font>
      <sz val="8"/>
      <color indexed="10"/>
      <name val="Arial Cyr"/>
      <family val="2"/>
      <charset val="204"/>
    </font>
    <font>
      <sz val="9"/>
      <color indexed="12"/>
      <name val="Arial Cyr"/>
      <family val="2"/>
      <charset val="204"/>
    </font>
    <font>
      <sz val="9"/>
      <color indexed="10"/>
      <name val="Arial Cyr"/>
      <family val="2"/>
      <charset val="204"/>
    </font>
    <font>
      <sz val="10"/>
      <color indexed="14"/>
      <name val="Arial Cyr"/>
      <family val="2"/>
      <charset val="204"/>
    </font>
    <font>
      <sz val="8"/>
      <color indexed="12"/>
      <name val="Arial Cyr"/>
      <charset val="204"/>
    </font>
    <font>
      <sz val="10"/>
      <color indexed="48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0"/>
      <name val="Helv"/>
    </font>
    <font>
      <b/>
      <sz val="11"/>
      <name val="Arial Cyr"/>
      <family val="2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4" fillId="0" borderId="0"/>
    <xf numFmtId="0" fontId="3" fillId="0" borderId="0"/>
    <xf numFmtId="0" fontId="51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23" borderId="8" applyNumberFormat="0" applyFont="0" applyAlignment="0" applyProtection="0"/>
    <xf numFmtId="0" fontId="23" fillId="23" borderId="8" applyNumberFormat="0" applyFont="0" applyAlignment="0" applyProtection="0"/>
    <xf numFmtId="0" fontId="20" fillId="0" borderId="9" applyNumberFormat="0" applyFill="0" applyAlignment="0" applyProtection="0"/>
    <xf numFmtId="0" fontId="4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</cellStyleXfs>
  <cellXfs count="112">
    <xf numFmtId="0" fontId="0" fillId="0" borderId="0" xfId="0"/>
    <xf numFmtId="0" fontId="25" fillId="0" borderId="0" xfId="0" applyFont="1" applyFill="1"/>
    <xf numFmtId="4" fontId="25" fillId="0" borderId="0" xfId="0" applyNumberFormat="1" applyFont="1" applyFill="1"/>
    <xf numFmtId="0" fontId="25" fillId="0" borderId="0" xfId="0" applyFont="1" applyFill="1" applyAlignment="1">
      <alignment horizontal="center" vertical="center"/>
    </xf>
    <xf numFmtId="0" fontId="25" fillId="0" borderId="0" xfId="38" applyFont="1" applyFill="1" applyAlignment="1">
      <alignment vertical="center"/>
    </xf>
    <xf numFmtId="0" fontId="25" fillId="0" borderId="0" xfId="38" applyFont="1" applyFill="1" applyAlignment="1">
      <alignment vertical="center" wrapText="1"/>
    </xf>
    <xf numFmtId="0" fontId="25" fillId="0" borderId="0" xfId="38" applyFont="1" applyFill="1" applyAlignment="1">
      <alignment horizontal="center" vertical="center" wrapText="1"/>
    </xf>
    <xf numFmtId="4" fontId="25" fillId="0" borderId="0" xfId="0" applyNumberFormat="1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6" fillId="0" borderId="0" xfId="0" applyNumberFormat="1" applyFont="1" applyFill="1" applyAlignment="1">
      <alignment horizontal="center" vertical="center"/>
    </xf>
    <xf numFmtId="0" fontId="26" fillId="0" borderId="0" xfId="0" applyNumberFormat="1" applyFont="1" applyFill="1" applyBorder="1" applyAlignment="1">
      <alignment horizontal="left" vertical="center" wrapText="1"/>
    </xf>
    <xf numFmtId="0" fontId="26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0" fontId="26" fillId="0" borderId="0" xfId="38" applyFont="1" applyFill="1" applyAlignment="1">
      <alignment horizontal="left" vertical="center" wrapText="1"/>
    </xf>
    <xf numFmtId="0" fontId="27" fillId="0" borderId="0" xfId="0" applyFont="1" applyFill="1" applyAlignment="1">
      <alignment horizontal="left" vertical="center"/>
    </xf>
    <xf numFmtId="0" fontId="25" fillId="0" borderId="0" xfId="0" applyFont="1" applyFill="1" applyBorder="1"/>
    <xf numFmtId="49" fontId="26" fillId="0" borderId="10" xfId="0" applyNumberFormat="1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4" fontId="26" fillId="0" borderId="12" xfId="0" applyNumberFormat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49" fontId="25" fillId="0" borderId="14" xfId="0" applyNumberFormat="1" applyFont="1" applyFill="1" applyBorder="1" applyAlignment="1">
      <alignment horizontal="center" vertical="center" wrapText="1"/>
    </xf>
    <xf numFmtId="0" fontId="26" fillId="0" borderId="0" xfId="0" applyFont="1"/>
    <xf numFmtId="0" fontId="23" fillId="0" borderId="0" xfId="41" applyNumberFormat="1"/>
    <xf numFmtId="0" fontId="23" fillId="0" borderId="0" xfId="41" applyNumberFormat="1" applyBorder="1"/>
    <xf numFmtId="4" fontId="30" fillId="24" borderId="0" xfId="41" applyNumberFormat="1" applyFont="1" applyFill="1" applyBorder="1" applyAlignment="1">
      <alignment horizontal="right"/>
    </xf>
    <xf numFmtId="2" fontId="31" fillId="24" borderId="0" xfId="41" applyNumberFormat="1" applyFont="1" applyFill="1"/>
    <xf numFmtId="0" fontId="23" fillId="0" borderId="0" xfId="41" applyNumberFormat="1" applyAlignment="1">
      <alignment horizontal="left"/>
    </xf>
    <xf numFmtId="0" fontId="32" fillId="0" borderId="0" xfId="41" applyNumberFormat="1" applyFont="1"/>
    <xf numFmtId="0" fontId="31" fillId="0" borderId="0" xfId="41" applyNumberFormat="1" applyFont="1"/>
    <xf numFmtId="4" fontId="30" fillId="0" borderId="0" xfId="41" applyNumberFormat="1" applyFont="1" applyAlignment="1">
      <alignment horizontal="right"/>
    </xf>
    <xf numFmtId="0" fontId="33" fillId="0" borderId="0" xfId="41" applyFont="1"/>
    <xf numFmtId="0" fontId="23" fillId="0" borderId="0" xfId="41"/>
    <xf numFmtId="0" fontId="23" fillId="0" borderId="0" xfId="41" applyAlignment="1">
      <alignment horizontal="right"/>
    </xf>
    <xf numFmtId="0" fontId="23" fillId="0" borderId="0" xfId="41" applyAlignment="1">
      <alignment horizontal="center"/>
    </xf>
    <xf numFmtId="0" fontId="23" fillId="0" borderId="0" xfId="41" applyAlignment="1">
      <alignment horizontal="left"/>
    </xf>
    <xf numFmtId="0" fontId="33" fillId="0" borderId="0" xfId="41" applyFont="1" applyProtection="1">
      <protection hidden="1"/>
    </xf>
    <xf numFmtId="0" fontId="35" fillId="0" borderId="0" xfId="41" applyNumberFormat="1" applyFont="1"/>
    <xf numFmtId="164" fontId="36" fillId="0" borderId="0" xfId="41" applyNumberFormat="1" applyFont="1" applyBorder="1" applyAlignment="1">
      <alignment horizontal="left"/>
    </xf>
    <xf numFmtId="0" fontId="37" fillId="0" borderId="0" xfId="41" applyNumberFormat="1" applyFont="1"/>
    <xf numFmtId="0" fontId="23" fillId="0" borderId="0" xfId="41" applyNumberFormat="1" applyAlignment="1">
      <alignment horizontal="right"/>
    </xf>
    <xf numFmtId="0" fontId="35" fillId="0" borderId="0" xfId="41" applyNumberFormat="1" applyFont="1" applyAlignment="1">
      <alignment horizontal="right"/>
    </xf>
    <xf numFmtId="0" fontId="39" fillId="0" borderId="0" xfId="41" applyNumberFormat="1" applyFont="1"/>
    <xf numFmtId="0" fontId="35" fillId="0" borderId="0" xfId="41" applyNumberFormat="1" applyFont="1" applyAlignment="1">
      <alignment horizontal="center"/>
    </xf>
    <xf numFmtId="0" fontId="40" fillId="0" borderId="0" xfId="41" applyNumberFormat="1" applyFont="1"/>
    <xf numFmtId="0" fontId="41" fillId="0" borderId="0" xfId="41" applyNumberFormat="1" applyFont="1"/>
    <xf numFmtId="165" fontId="23" fillId="0" borderId="0" xfId="41" applyNumberFormat="1"/>
    <xf numFmtId="2" fontId="23" fillId="0" borderId="0" xfId="41" applyNumberFormat="1" applyAlignment="1">
      <alignment horizontal="right"/>
    </xf>
    <xf numFmtId="22" fontId="23" fillId="0" borderId="0" xfId="41" applyNumberFormat="1"/>
    <xf numFmtId="0" fontId="41" fillId="0" borderId="0" xfId="41" applyNumberFormat="1" applyFont="1" applyAlignment="1">
      <alignment horizontal="right"/>
    </xf>
    <xf numFmtId="0" fontId="42" fillId="0" borderId="0" xfId="41" applyNumberFormat="1" applyFont="1" applyAlignment="1">
      <alignment shrinkToFit="1"/>
    </xf>
    <xf numFmtId="0" fontId="41" fillId="0" borderId="0" xfId="41" applyNumberFormat="1" applyFont="1" applyAlignment="1">
      <alignment horizontal="left"/>
    </xf>
    <xf numFmtId="14" fontId="41" fillId="0" borderId="0" xfId="41" applyNumberFormat="1" applyFont="1"/>
    <xf numFmtId="0" fontId="36" fillId="0" borderId="0" xfId="41" applyNumberFormat="1" applyFont="1"/>
    <xf numFmtId="4" fontId="36" fillId="0" borderId="0" xfId="41" applyNumberFormat="1" applyFont="1" applyAlignment="1">
      <alignment horizontal="right"/>
    </xf>
    <xf numFmtId="22" fontId="41" fillId="0" borderId="0" xfId="41" applyNumberFormat="1" applyFont="1"/>
    <xf numFmtId="4" fontId="41" fillId="0" borderId="0" xfId="41" applyNumberFormat="1" applyFont="1" applyAlignment="1">
      <alignment horizontal="left"/>
    </xf>
    <xf numFmtId="0" fontId="43" fillId="0" borderId="0" xfId="41" applyNumberFormat="1" applyFont="1"/>
    <xf numFmtId="0" fontId="43" fillId="0" borderId="0" xfId="41" applyNumberFormat="1" applyFont="1" applyAlignment="1">
      <alignment shrinkToFit="1"/>
    </xf>
    <xf numFmtId="0" fontId="44" fillId="0" borderId="0" xfId="41" applyNumberFormat="1" applyFont="1" applyAlignment="1">
      <alignment shrinkToFit="1"/>
    </xf>
    <xf numFmtId="3" fontId="41" fillId="0" borderId="0" xfId="41" applyNumberFormat="1" applyFont="1"/>
    <xf numFmtId="0" fontId="36" fillId="0" borderId="0" xfId="41" applyNumberFormat="1" applyFont="1" applyAlignment="1">
      <alignment horizontal="right"/>
    </xf>
    <xf numFmtId="1" fontId="41" fillId="0" borderId="0" xfId="41" applyNumberFormat="1" applyFont="1" applyAlignment="1">
      <alignment horizontal="right"/>
    </xf>
    <xf numFmtId="0" fontId="45" fillId="0" borderId="0" xfId="41" applyNumberFormat="1" applyFont="1"/>
    <xf numFmtId="0" fontId="45" fillId="0" borderId="0" xfId="41" applyNumberFormat="1" applyFont="1" applyBorder="1"/>
    <xf numFmtId="0" fontId="2" fillId="0" borderId="0" xfId="28" applyNumberFormat="1" applyAlignment="1" applyProtection="1"/>
    <xf numFmtId="0" fontId="50" fillId="0" borderId="0" xfId="0" applyNumberFormat="1" applyFont="1" applyAlignment="1">
      <alignment horizontal="left" vertical="center" wrapText="1"/>
    </xf>
    <xf numFmtId="0" fontId="35" fillId="0" borderId="0" xfId="39" applyFont="1" applyFill="1" applyBorder="1" applyAlignment="1">
      <alignment vertical="center"/>
    </xf>
    <xf numFmtId="4" fontId="35" fillId="0" borderId="0" xfId="39" applyNumberFormat="1" applyFont="1" applyFill="1" applyBorder="1" applyAlignment="1">
      <alignment vertical="center"/>
    </xf>
    <xf numFmtId="4" fontId="52" fillId="0" borderId="0" xfId="39" applyNumberFormat="1" applyFont="1" applyFill="1" applyBorder="1" applyAlignment="1">
      <alignment horizontal="center" vertical="center" wrapText="1"/>
    </xf>
    <xf numFmtId="0" fontId="30" fillId="0" borderId="0" xfId="39" applyFont="1" applyAlignment="1"/>
    <xf numFmtId="0" fontId="25" fillId="25" borderId="0" xfId="0" applyFont="1" applyFill="1"/>
    <xf numFmtId="0" fontId="26" fillId="0" borderId="10" xfId="0" applyNumberFormat="1" applyFont="1" applyFill="1" applyBorder="1" applyAlignment="1">
      <alignment horizontal="center" vertical="center"/>
    </xf>
    <xf numFmtId="0" fontId="26" fillId="0" borderId="12" xfId="0" applyNumberFormat="1" applyFont="1" applyFill="1" applyBorder="1" applyAlignment="1">
      <alignment horizontal="left" vertical="center" wrapText="1"/>
    </xf>
    <xf numFmtId="0" fontId="26" fillId="0" borderId="12" xfId="0" applyNumberFormat="1" applyFont="1" applyFill="1" applyBorder="1" applyAlignment="1">
      <alignment horizontal="center" vertical="center" wrapText="1"/>
    </xf>
    <xf numFmtId="4" fontId="26" fillId="0" borderId="12" xfId="0" applyNumberFormat="1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 wrapText="1"/>
    </xf>
    <xf numFmtId="0" fontId="26" fillId="0" borderId="0" xfId="0" applyNumberFormat="1" applyFont="1" applyFill="1" applyBorder="1" applyAlignment="1">
      <alignment horizontal="center" vertical="center"/>
    </xf>
    <xf numFmtId="4" fontId="26" fillId="0" borderId="0" xfId="0" applyNumberFormat="1" applyFont="1" applyFill="1" applyBorder="1" applyAlignment="1">
      <alignment horizontal="center" vertical="center"/>
    </xf>
    <xf numFmtId="4" fontId="26" fillId="0" borderId="0" xfId="0" applyNumberFormat="1" applyFont="1" applyFill="1" applyBorder="1" applyAlignment="1">
      <alignment horizontal="right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29" borderId="16" xfId="0" applyFont="1" applyFill="1" applyBorder="1" applyAlignment="1">
      <alignment horizontal="center" vertical="center" wrapText="1"/>
    </xf>
    <xf numFmtId="4" fontId="28" fillId="29" borderId="15" xfId="0" applyNumberFormat="1" applyFont="1" applyFill="1" applyBorder="1" applyAlignment="1">
      <alignment vertical="center"/>
    </xf>
    <xf numFmtId="4" fontId="26" fillId="0" borderId="12" xfId="0" applyNumberFormat="1" applyFont="1" applyFill="1" applyBorder="1" applyAlignment="1">
      <alignment horizontal="right" vertical="center" wrapText="1"/>
    </xf>
    <xf numFmtId="0" fontId="55" fillId="30" borderId="11" xfId="0" applyFont="1" applyFill="1" applyBorder="1" applyAlignment="1">
      <alignment vertical="center" wrapText="1"/>
    </xf>
    <xf numFmtId="0" fontId="26" fillId="0" borderId="0" xfId="38" applyFont="1" applyFill="1" applyAlignment="1">
      <alignment vertical="center" wrapText="1"/>
    </xf>
    <xf numFmtId="4" fontId="25" fillId="0" borderId="11" xfId="0" applyNumberFormat="1" applyFont="1" applyFill="1" applyBorder="1" applyAlignment="1">
      <alignment horizontal="right" vertical="center"/>
    </xf>
    <xf numFmtId="0" fontId="50" fillId="0" borderId="17" xfId="0" applyFont="1" applyFill="1" applyBorder="1" applyAlignment="1">
      <alignment horizontal="center" vertical="center" wrapText="1"/>
    </xf>
    <xf numFmtId="0" fontId="50" fillId="0" borderId="18" xfId="0" applyFont="1" applyFill="1" applyBorder="1" applyAlignment="1">
      <alignment horizontal="center" vertical="center" wrapText="1"/>
    </xf>
    <xf numFmtId="4" fontId="28" fillId="0" borderId="11" xfId="0" applyNumberFormat="1" applyFont="1" applyFill="1" applyBorder="1" applyAlignment="1">
      <alignment horizontal="center" vertical="center"/>
    </xf>
    <xf numFmtId="4" fontId="28" fillId="0" borderId="11" xfId="0" applyNumberFormat="1" applyFont="1" applyFill="1" applyBorder="1" applyAlignment="1">
      <alignment horizontal="right" vertical="center"/>
    </xf>
    <xf numFmtId="0" fontId="55" fillId="30" borderId="15" xfId="0" applyFont="1" applyFill="1" applyBorder="1" applyAlignment="1">
      <alignment vertical="center" wrapText="1"/>
    </xf>
    <xf numFmtId="4" fontId="28" fillId="0" borderId="15" xfId="0" applyNumberFormat="1" applyFont="1" applyFill="1" applyBorder="1" applyAlignment="1">
      <alignment horizontal="center" vertical="center"/>
    </xf>
    <xf numFmtId="4" fontId="28" fillId="0" borderId="15" xfId="0" applyNumberFormat="1" applyFont="1" applyFill="1" applyBorder="1" applyAlignment="1">
      <alignment horizontal="right" vertical="center"/>
    </xf>
    <xf numFmtId="4" fontId="28" fillId="0" borderId="15" xfId="0" applyNumberFormat="1" applyFont="1" applyFill="1" applyBorder="1" applyAlignment="1">
      <alignment vertical="center"/>
    </xf>
    <xf numFmtId="0" fontId="25" fillId="0" borderId="0" xfId="0" applyFont="1" applyFill="1" applyAlignment="1">
      <alignment horizontal="center" vertical="center" wrapText="1"/>
    </xf>
    <xf numFmtId="4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 wrapText="1"/>
    </xf>
    <xf numFmtId="2" fontId="50" fillId="0" borderId="1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26" fillId="0" borderId="0" xfId="38" applyFont="1" applyFill="1" applyAlignment="1">
      <alignment horizontal="center" vertical="center"/>
    </xf>
    <xf numFmtId="0" fontId="53" fillId="0" borderId="0" xfId="0" applyNumberFormat="1" applyFont="1" applyAlignment="1">
      <alignment horizontal="left" vertical="center" wrapText="1"/>
    </xf>
    <xf numFmtId="0" fontId="50" fillId="0" borderId="0" xfId="0" applyNumberFormat="1" applyFont="1" applyAlignment="1">
      <alignment horizontal="left" vertical="center" wrapText="1"/>
    </xf>
    <xf numFmtId="0" fontId="26" fillId="25" borderId="0" xfId="0" applyFont="1" applyFill="1" applyAlignment="1">
      <alignment horizontal="left" vertical="center" wrapText="1"/>
    </xf>
    <xf numFmtId="0" fontId="41" fillId="0" borderId="0" xfId="41" applyNumberFormat="1" applyFont="1" applyAlignment="1">
      <alignment horizontal="right"/>
    </xf>
    <xf numFmtId="0" fontId="2" fillId="0" borderId="0" xfId="28" applyNumberFormat="1" applyAlignment="1" applyProtection="1"/>
    <xf numFmtId="0" fontId="29" fillId="26" borderId="0" xfId="41" applyNumberFormat="1" applyFont="1" applyFill="1" applyAlignment="1">
      <alignment horizontal="center" vertical="center" wrapText="1"/>
    </xf>
    <xf numFmtId="14" fontId="34" fillId="27" borderId="0" xfId="41" applyNumberFormat="1" applyFont="1" applyFill="1" applyAlignment="1">
      <alignment horizontal="center"/>
    </xf>
    <xf numFmtId="164" fontId="36" fillId="0" borderId="0" xfId="41" applyNumberFormat="1" applyFont="1" applyBorder="1" applyAlignment="1">
      <alignment horizontal="left"/>
    </xf>
    <xf numFmtId="0" fontId="38" fillId="28" borderId="0" xfId="41" applyNumberFormat="1" applyFont="1" applyFill="1" applyAlignment="1">
      <alignment horizontal="center" vertical="center" wrapText="1"/>
    </xf>
    <xf numFmtId="0" fontId="46" fillId="24" borderId="0" xfId="41" applyNumberFormat="1" applyFont="1" applyFill="1" applyAlignment="1">
      <alignment horizontal="right" vertical="center" wrapText="1"/>
    </xf>
    <xf numFmtId="0" fontId="26" fillId="0" borderId="0" xfId="40" applyFont="1" applyAlignment="1">
      <alignment horizontal="left" wrapText="1"/>
    </xf>
  </cellXfs>
  <cellStyles count="50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_Сч-фактура" xfId="2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_Лист1" xfId="38"/>
    <cellStyle name="Обычный_Лист1 2 2" xfId="39"/>
    <cellStyle name="Обычный_Приложение №3 2" xfId="40"/>
    <cellStyle name="Обычный_Сч-фактура" xfId="41"/>
    <cellStyle name="Плохой" xfId="42" builtinId="27" customBuiltin="1"/>
    <cellStyle name="Пояснение" xfId="43" builtinId="53" customBuiltin="1"/>
    <cellStyle name="Примечание" xfId="44" builtinId="10" customBuiltin="1"/>
    <cellStyle name="Примечание 2" xfId="45"/>
    <cellStyle name="Связанная ячейка" xfId="46" builtinId="24" customBuiltin="1"/>
    <cellStyle name="Стиль 1" xfId="47"/>
    <cellStyle name="Текст предупреждения" xfId="48" builtinId="11" customBuiltin="1"/>
    <cellStyle name="Хороший" xfId="49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olegator@allok.ru?subject=&#1063;&#1080;&#1089;&#1083;&#1086;_&#1087;&#1088;&#1086;&#1087;&#1080;&#1089;&#1100;&#1102;_&#1074;_Excel" TargetMode="External"/><Relationship Id="rId2" Type="http://schemas.openxmlformats.org/officeDocument/2006/relationships/hyperlink" Target="http://www.allok.ru/" TargetMode="External"/><Relationship Id="rId1" Type="http://schemas.openxmlformats.org/officeDocument/2006/relationships/hyperlink" Target="http://www.allok.ru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olegator@allok.ru?subject=&#1063;&#1080;&#1089;&#1083;&#1086;_&#1087;&#1088;&#1086;&#1087;&#1080;&#1089;&#1100;&#1102;_&#1074;_Excel" TargetMode="External"/><Relationship Id="rId2" Type="http://schemas.openxmlformats.org/officeDocument/2006/relationships/hyperlink" Target="http://www.allok.ru/" TargetMode="External"/><Relationship Id="rId1" Type="http://schemas.openxmlformats.org/officeDocument/2006/relationships/hyperlink" Target="http://www.allok.ru/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06"/>
  <sheetViews>
    <sheetView tabSelected="1" topLeftCell="A88" zoomScale="75" zoomScaleNormal="75" zoomScaleSheetLayoutView="70" workbookViewId="0">
      <selection activeCell="B104" sqref="B104:G106"/>
    </sheetView>
  </sheetViews>
  <sheetFormatPr defaultColWidth="9.109375" defaultRowHeight="18"/>
  <cols>
    <col min="1" max="1" width="5.5546875" style="1" customWidth="1"/>
    <col min="2" max="2" width="61.6640625" style="1" customWidth="1"/>
    <col min="3" max="3" width="10.5546875" style="1" customWidth="1"/>
    <col min="4" max="4" width="12" style="1" customWidth="1"/>
    <col min="5" max="5" width="22.109375" style="2" customWidth="1"/>
    <col min="6" max="6" width="19.109375" style="3" customWidth="1"/>
    <col min="7" max="7" width="24.5546875" style="1" customWidth="1"/>
    <col min="8" max="8" width="21.88671875" style="1" customWidth="1"/>
    <col min="9" max="9" width="23.88671875" style="1" customWidth="1"/>
    <col min="10" max="10" width="18.109375" style="1" customWidth="1"/>
    <col min="11" max="11" width="38.33203125" style="1" customWidth="1"/>
    <col min="12" max="12" width="31.33203125" style="1" customWidth="1"/>
    <col min="13" max="13" width="37.88671875" style="1" customWidth="1"/>
    <col min="14" max="14" width="19.88671875" style="1" customWidth="1"/>
    <col min="15" max="15" width="9.109375" style="1"/>
    <col min="16" max="16" width="19.44140625" style="1" customWidth="1"/>
    <col min="17" max="17" width="15.33203125" style="1" customWidth="1"/>
    <col min="18" max="16384" width="9.109375" style="1"/>
  </cols>
  <sheetData>
    <row r="2" spans="1:17">
      <c r="B2" s="21"/>
    </row>
    <row r="3" spans="1:17" ht="39" customHeight="1">
      <c r="B3" s="99" t="s">
        <v>156</v>
      </c>
      <c r="C3" s="99"/>
      <c r="D3" s="99"/>
      <c r="E3" s="99"/>
      <c r="F3" s="99"/>
      <c r="G3" s="99"/>
      <c r="H3" s="99"/>
      <c r="I3" s="99"/>
      <c r="J3" s="99"/>
    </row>
    <row r="4" spans="1:17" s="8" customFormat="1" ht="28.5" customHeight="1">
      <c r="A4" s="4"/>
      <c r="B4" s="84"/>
      <c r="C4" s="5"/>
      <c r="D4" s="6"/>
      <c r="E4" s="7"/>
      <c r="F4" s="3"/>
    </row>
    <row r="5" spans="1:17" s="8" customFormat="1" ht="27" customHeight="1" thickBot="1">
      <c r="A5" s="100" t="s">
        <v>8</v>
      </c>
      <c r="B5" s="100"/>
      <c r="C5" s="100"/>
      <c r="D5" s="100"/>
      <c r="E5" s="100"/>
      <c r="F5" s="100"/>
      <c r="G5" s="100"/>
      <c r="H5" s="100"/>
      <c r="I5" s="100"/>
      <c r="J5" s="100"/>
    </row>
    <row r="6" spans="1:17" s="3" customFormat="1" ht="79.5" customHeight="1" thickBot="1">
      <c r="A6" s="16" t="s">
        <v>0</v>
      </c>
      <c r="B6" s="17" t="s">
        <v>67</v>
      </c>
      <c r="C6" s="17" t="s">
        <v>9</v>
      </c>
      <c r="D6" s="17" t="s">
        <v>1</v>
      </c>
      <c r="E6" s="18" t="s">
        <v>7</v>
      </c>
      <c r="F6" s="18" t="s">
        <v>3</v>
      </c>
      <c r="G6" s="18" t="s">
        <v>4</v>
      </c>
      <c r="H6" s="18" t="s">
        <v>5</v>
      </c>
      <c r="I6" s="18" t="s">
        <v>6</v>
      </c>
      <c r="J6" s="19" t="s">
        <v>68</v>
      </c>
      <c r="M6" s="94"/>
      <c r="N6" s="94"/>
      <c r="P6" s="94"/>
      <c r="Q6" s="94"/>
    </row>
    <row r="7" spans="1:17" s="3" customFormat="1">
      <c r="A7" s="20" t="s">
        <v>10</v>
      </c>
      <c r="B7" s="83" t="s">
        <v>157</v>
      </c>
      <c r="C7" s="86" t="s">
        <v>158</v>
      </c>
      <c r="D7" s="98">
        <v>20</v>
      </c>
      <c r="E7" s="85">
        <f>F7/1.05</f>
        <v>1463.8095238095239</v>
      </c>
      <c r="F7" s="93">
        <v>1537</v>
      </c>
      <c r="G7" s="81">
        <f t="shared" ref="G7" si="0">ROUND(F7*D7, 2)</f>
        <v>30740</v>
      </c>
      <c r="H7" s="81">
        <f t="shared" ref="H7" si="1">I7-G7</f>
        <v>3074</v>
      </c>
      <c r="I7" s="81">
        <f>ROUND(G7*1.1, 2)</f>
        <v>33814</v>
      </c>
      <c r="J7" s="80" t="s">
        <v>69</v>
      </c>
      <c r="P7" s="95"/>
    </row>
    <row r="8" spans="1:17" s="3" customFormat="1">
      <c r="A8" s="20" t="s">
        <v>70</v>
      </c>
      <c r="B8" s="83" t="s">
        <v>159</v>
      </c>
      <c r="C8" s="87" t="s">
        <v>160</v>
      </c>
      <c r="D8" s="98">
        <v>3</v>
      </c>
      <c r="E8" s="85">
        <f t="shared" ref="E8:E16" si="2">F8/1.05</f>
        <v>76.19047619047619</v>
      </c>
      <c r="F8" s="93">
        <v>80</v>
      </c>
      <c r="G8" s="81">
        <f t="shared" ref="G8:G16" si="3">ROUND(F8*D8, 2)</f>
        <v>240</v>
      </c>
      <c r="H8" s="81">
        <f t="shared" ref="H8:H16" si="4">I8-G8</f>
        <v>24</v>
      </c>
      <c r="I8" s="81">
        <f t="shared" ref="I8:I71" si="5">ROUND(G8*1.1, 2)</f>
        <v>264</v>
      </c>
      <c r="J8" s="80" t="s">
        <v>69</v>
      </c>
      <c r="P8" s="95"/>
    </row>
    <row r="9" spans="1:17" s="3" customFormat="1">
      <c r="A9" s="20" t="s">
        <v>71</v>
      </c>
      <c r="B9" s="83" t="s">
        <v>161</v>
      </c>
      <c r="C9" s="87" t="s">
        <v>158</v>
      </c>
      <c r="D9" s="98">
        <v>100</v>
      </c>
      <c r="E9" s="85">
        <f t="shared" si="2"/>
        <v>700.95238095238096</v>
      </c>
      <c r="F9" s="93">
        <v>736</v>
      </c>
      <c r="G9" s="81">
        <f t="shared" si="3"/>
        <v>73600</v>
      </c>
      <c r="H9" s="81">
        <f t="shared" si="4"/>
        <v>7360</v>
      </c>
      <c r="I9" s="81">
        <f t="shared" si="5"/>
        <v>80960</v>
      </c>
      <c r="J9" s="80" t="s">
        <v>69</v>
      </c>
      <c r="K9" s="96"/>
      <c r="P9" s="95"/>
    </row>
    <row r="10" spans="1:17" s="3" customFormat="1">
      <c r="A10" s="20" t="s">
        <v>72</v>
      </c>
      <c r="B10" s="83" t="s">
        <v>162</v>
      </c>
      <c r="C10" s="87" t="s">
        <v>158</v>
      </c>
      <c r="D10" s="98">
        <v>4</v>
      </c>
      <c r="E10" s="85">
        <f t="shared" si="2"/>
        <v>454.76190476190476</v>
      </c>
      <c r="F10" s="93">
        <v>477.5</v>
      </c>
      <c r="G10" s="81">
        <f t="shared" si="3"/>
        <v>1910</v>
      </c>
      <c r="H10" s="81">
        <f t="shared" si="4"/>
        <v>191</v>
      </c>
      <c r="I10" s="81">
        <f t="shared" si="5"/>
        <v>2101</v>
      </c>
      <c r="J10" s="80" t="s">
        <v>69</v>
      </c>
      <c r="K10" s="97"/>
      <c r="P10" s="95"/>
    </row>
    <row r="11" spans="1:17" s="3" customFormat="1">
      <c r="A11" s="20" t="s">
        <v>73</v>
      </c>
      <c r="B11" s="83" t="s">
        <v>163</v>
      </c>
      <c r="C11" s="87" t="s">
        <v>158</v>
      </c>
      <c r="D11" s="98">
        <v>8</v>
      </c>
      <c r="E11" s="85">
        <f t="shared" si="2"/>
        <v>325.23809523809524</v>
      </c>
      <c r="F11" s="93">
        <v>341.5</v>
      </c>
      <c r="G11" s="81">
        <f t="shared" si="3"/>
        <v>2732</v>
      </c>
      <c r="H11" s="81">
        <f t="shared" si="4"/>
        <v>273.19999999999982</v>
      </c>
      <c r="I11" s="81">
        <f t="shared" si="5"/>
        <v>3005.2</v>
      </c>
      <c r="J11" s="80" t="s">
        <v>69</v>
      </c>
      <c r="K11" s="97"/>
      <c r="P11" s="95"/>
    </row>
    <row r="12" spans="1:17" s="3" customFormat="1">
      <c r="A12" s="20" t="s">
        <v>74</v>
      </c>
      <c r="B12" s="83" t="s">
        <v>164</v>
      </c>
      <c r="C12" s="87" t="s">
        <v>160</v>
      </c>
      <c r="D12" s="98">
        <v>10</v>
      </c>
      <c r="E12" s="85">
        <f t="shared" si="2"/>
        <v>13.809523809523808</v>
      </c>
      <c r="F12" s="93">
        <v>14.5</v>
      </c>
      <c r="G12" s="81">
        <f t="shared" si="3"/>
        <v>145</v>
      </c>
      <c r="H12" s="81">
        <f t="shared" si="4"/>
        <v>14.5</v>
      </c>
      <c r="I12" s="81">
        <f t="shared" si="5"/>
        <v>159.5</v>
      </c>
      <c r="J12" s="80" t="s">
        <v>69</v>
      </c>
      <c r="K12" s="97"/>
      <c r="P12" s="95"/>
    </row>
    <row r="13" spans="1:17" s="3" customFormat="1">
      <c r="A13" s="20" t="s">
        <v>75</v>
      </c>
      <c r="B13" s="83" t="s">
        <v>165</v>
      </c>
      <c r="C13" s="87" t="s">
        <v>160</v>
      </c>
      <c r="D13" s="98">
        <v>3</v>
      </c>
      <c r="E13" s="85">
        <f t="shared" si="2"/>
        <v>17.619047619047617</v>
      </c>
      <c r="F13" s="93">
        <v>18.5</v>
      </c>
      <c r="G13" s="81">
        <f t="shared" si="3"/>
        <v>55.5</v>
      </c>
      <c r="H13" s="81">
        <f t="shared" si="4"/>
        <v>5.5499999999999972</v>
      </c>
      <c r="I13" s="81">
        <f t="shared" si="5"/>
        <v>61.05</v>
      </c>
      <c r="J13" s="80" t="s">
        <v>69</v>
      </c>
      <c r="K13" s="97"/>
      <c r="P13" s="95"/>
    </row>
    <row r="14" spans="1:17" s="3" customFormat="1">
      <c r="A14" s="20" t="s">
        <v>76</v>
      </c>
      <c r="B14" s="83" t="s">
        <v>166</v>
      </c>
      <c r="C14" s="87" t="s">
        <v>158</v>
      </c>
      <c r="D14" s="98">
        <v>7</v>
      </c>
      <c r="E14" s="85">
        <f t="shared" si="2"/>
        <v>114.28571428571428</v>
      </c>
      <c r="F14" s="93">
        <v>120</v>
      </c>
      <c r="G14" s="81">
        <f t="shared" si="3"/>
        <v>840</v>
      </c>
      <c r="H14" s="81">
        <f t="shared" si="4"/>
        <v>84</v>
      </c>
      <c r="I14" s="81">
        <f t="shared" si="5"/>
        <v>924</v>
      </c>
      <c r="J14" s="80" t="s">
        <v>69</v>
      </c>
      <c r="K14" s="97"/>
    </row>
    <row r="15" spans="1:17" s="3" customFormat="1">
      <c r="A15" s="20" t="s">
        <v>78</v>
      </c>
      <c r="B15" s="83" t="s">
        <v>167</v>
      </c>
      <c r="C15" s="88" t="s">
        <v>158</v>
      </c>
      <c r="D15" s="98">
        <v>4</v>
      </c>
      <c r="E15" s="85">
        <f t="shared" si="2"/>
        <v>115.23809523809523</v>
      </c>
      <c r="F15" s="89">
        <v>121</v>
      </c>
      <c r="G15" s="81">
        <f t="shared" si="3"/>
        <v>484</v>
      </c>
      <c r="H15" s="81">
        <f t="shared" si="4"/>
        <v>48.399999999999977</v>
      </c>
      <c r="I15" s="81">
        <f t="shared" si="5"/>
        <v>532.4</v>
      </c>
      <c r="J15" s="80" t="s">
        <v>69</v>
      </c>
    </row>
    <row r="16" spans="1:17" s="3" customFormat="1">
      <c r="A16" s="20" t="s">
        <v>77</v>
      </c>
      <c r="B16" s="90" t="s">
        <v>168</v>
      </c>
      <c r="C16" s="91" t="s">
        <v>158</v>
      </c>
      <c r="D16" s="98">
        <v>5</v>
      </c>
      <c r="E16" s="85">
        <f t="shared" si="2"/>
        <v>30.476190476190474</v>
      </c>
      <c r="F16" s="92">
        <v>32</v>
      </c>
      <c r="G16" s="81">
        <f t="shared" si="3"/>
        <v>160</v>
      </c>
      <c r="H16" s="81">
        <f t="shared" si="4"/>
        <v>16</v>
      </c>
      <c r="I16" s="81">
        <f t="shared" si="5"/>
        <v>176</v>
      </c>
      <c r="J16" s="80" t="s">
        <v>69</v>
      </c>
    </row>
    <row r="17" spans="1:10" s="3" customFormat="1">
      <c r="A17" s="20" t="s">
        <v>79</v>
      </c>
      <c r="B17" s="90" t="s">
        <v>169</v>
      </c>
      <c r="C17" s="91" t="s">
        <v>158</v>
      </c>
      <c r="D17" s="98">
        <v>20</v>
      </c>
      <c r="E17" s="85">
        <f t="shared" ref="E17:E80" si="6">F17/1.05</f>
        <v>576.66666666666663</v>
      </c>
      <c r="F17" s="92">
        <v>605.5</v>
      </c>
      <c r="G17" s="81">
        <f t="shared" ref="G17:G80" si="7">ROUND(F17*D17, 2)</f>
        <v>12110</v>
      </c>
      <c r="H17" s="81">
        <f t="shared" ref="H17:H80" si="8">I17-G17</f>
        <v>1211</v>
      </c>
      <c r="I17" s="81">
        <f t="shared" si="5"/>
        <v>13321</v>
      </c>
      <c r="J17" s="80" t="s">
        <v>69</v>
      </c>
    </row>
    <row r="18" spans="1:10" s="3" customFormat="1">
      <c r="A18" s="20" t="s">
        <v>80</v>
      </c>
      <c r="B18" s="90" t="s">
        <v>170</v>
      </c>
      <c r="C18" s="91" t="s">
        <v>171</v>
      </c>
      <c r="D18" s="98">
        <v>5</v>
      </c>
      <c r="E18" s="85">
        <f t="shared" si="6"/>
        <v>6.6666666666666661</v>
      </c>
      <c r="F18" s="92">
        <v>7</v>
      </c>
      <c r="G18" s="81">
        <f t="shared" si="7"/>
        <v>35</v>
      </c>
      <c r="H18" s="81">
        <f t="shared" si="8"/>
        <v>3.5</v>
      </c>
      <c r="I18" s="81">
        <f t="shared" si="5"/>
        <v>38.5</v>
      </c>
      <c r="J18" s="80" t="s">
        <v>69</v>
      </c>
    </row>
    <row r="19" spans="1:10" s="3" customFormat="1">
      <c r="A19" s="20" t="s">
        <v>81</v>
      </c>
      <c r="B19" s="90" t="s">
        <v>172</v>
      </c>
      <c r="C19" s="91" t="s">
        <v>160</v>
      </c>
      <c r="D19" s="98">
        <v>5</v>
      </c>
      <c r="E19" s="85">
        <f t="shared" si="6"/>
        <v>6.6666666666666661</v>
      </c>
      <c r="F19" s="92">
        <v>7</v>
      </c>
      <c r="G19" s="81">
        <f t="shared" si="7"/>
        <v>35</v>
      </c>
      <c r="H19" s="81">
        <f t="shared" si="8"/>
        <v>3.5</v>
      </c>
      <c r="I19" s="81">
        <f t="shared" si="5"/>
        <v>38.5</v>
      </c>
      <c r="J19" s="80" t="s">
        <v>69</v>
      </c>
    </row>
    <row r="20" spans="1:10" s="3" customFormat="1">
      <c r="A20" s="20" t="s">
        <v>82</v>
      </c>
      <c r="B20" s="90" t="s">
        <v>173</v>
      </c>
      <c r="C20" s="91" t="s">
        <v>158</v>
      </c>
      <c r="D20" s="98">
        <v>5</v>
      </c>
      <c r="E20" s="85">
        <f t="shared" si="6"/>
        <v>4354.2857142857138</v>
      </c>
      <c r="F20" s="92">
        <v>4572</v>
      </c>
      <c r="G20" s="81">
        <f t="shared" si="7"/>
        <v>22860</v>
      </c>
      <c r="H20" s="81">
        <f t="shared" si="8"/>
        <v>2286</v>
      </c>
      <c r="I20" s="81">
        <f t="shared" si="5"/>
        <v>25146</v>
      </c>
      <c r="J20" s="80" t="s">
        <v>69</v>
      </c>
    </row>
    <row r="21" spans="1:10" s="3" customFormat="1">
      <c r="A21" s="20" t="s">
        <v>83</v>
      </c>
      <c r="B21" s="90" t="s">
        <v>174</v>
      </c>
      <c r="C21" s="91" t="s">
        <v>171</v>
      </c>
      <c r="D21" s="98">
        <v>5</v>
      </c>
      <c r="E21" s="85">
        <f t="shared" si="6"/>
        <v>223.33333333333331</v>
      </c>
      <c r="F21" s="92">
        <v>234.5</v>
      </c>
      <c r="G21" s="81">
        <f t="shared" si="7"/>
        <v>1172.5</v>
      </c>
      <c r="H21" s="81">
        <f t="shared" si="8"/>
        <v>117.25</v>
      </c>
      <c r="I21" s="81">
        <f t="shared" si="5"/>
        <v>1289.75</v>
      </c>
      <c r="J21" s="80" t="s">
        <v>69</v>
      </c>
    </row>
    <row r="22" spans="1:10" s="3" customFormat="1">
      <c r="A22" s="20" t="s">
        <v>84</v>
      </c>
      <c r="B22" s="90" t="s">
        <v>175</v>
      </c>
      <c r="C22" s="91" t="s">
        <v>158</v>
      </c>
      <c r="D22" s="98">
        <v>30</v>
      </c>
      <c r="E22" s="85">
        <f t="shared" si="6"/>
        <v>443.8095238095238</v>
      </c>
      <c r="F22" s="92">
        <v>466</v>
      </c>
      <c r="G22" s="81">
        <f t="shared" si="7"/>
        <v>13980</v>
      </c>
      <c r="H22" s="81">
        <f t="shared" si="8"/>
        <v>1398</v>
      </c>
      <c r="I22" s="81">
        <f t="shared" si="5"/>
        <v>15378</v>
      </c>
      <c r="J22" s="80" t="s">
        <v>69</v>
      </c>
    </row>
    <row r="23" spans="1:10" s="3" customFormat="1">
      <c r="A23" s="20" t="s">
        <v>85</v>
      </c>
      <c r="B23" s="90" t="s">
        <v>176</v>
      </c>
      <c r="C23" s="91" t="s">
        <v>158</v>
      </c>
      <c r="D23" s="98">
        <v>5</v>
      </c>
      <c r="E23" s="85">
        <f t="shared" si="6"/>
        <v>34.761904761904759</v>
      </c>
      <c r="F23" s="92">
        <v>36.5</v>
      </c>
      <c r="G23" s="81">
        <f t="shared" si="7"/>
        <v>182.5</v>
      </c>
      <c r="H23" s="81">
        <f t="shared" si="8"/>
        <v>18.25</v>
      </c>
      <c r="I23" s="81">
        <f t="shared" si="5"/>
        <v>200.75</v>
      </c>
      <c r="J23" s="80" t="s">
        <v>69</v>
      </c>
    </row>
    <row r="24" spans="1:10" s="3" customFormat="1">
      <c r="A24" s="20" t="s">
        <v>86</v>
      </c>
      <c r="B24" s="90" t="s">
        <v>177</v>
      </c>
      <c r="C24" s="91" t="s">
        <v>158</v>
      </c>
      <c r="D24" s="98">
        <v>200</v>
      </c>
      <c r="E24" s="85">
        <f t="shared" si="6"/>
        <v>22</v>
      </c>
      <c r="F24" s="92">
        <v>23.1</v>
      </c>
      <c r="G24" s="81">
        <f t="shared" si="7"/>
        <v>4620</v>
      </c>
      <c r="H24" s="81">
        <f t="shared" si="8"/>
        <v>462</v>
      </c>
      <c r="I24" s="81">
        <f t="shared" si="5"/>
        <v>5082</v>
      </c>
      <c r="J24" s="80" t="s">
        <v>69</v>
      </c>
    </row>
    <row r="25" spans="1:10" s="3" customFormat="1">
      <c r="A25" s="20" t="s">
        <v>87</v>
      </c>
      <c r="B25" s="90" t="s">
        <v>178</v>
      </c>
      <c r="C25" s="91" t="s">
        <v>158</v>
      </c>
      <c r="D25" s="98">
        <v>4</v>
      </c>
      <c r="E25" s="85">
        <f t="shared" si="6"/>
        <v>205.71428571428569</v>
      </c>
      <c r="F25" s="92">
        <v>216</v>
      </c>
      <c r="G25" s="81">
        <f t="shared" si="7"/>
        <v>864</v>
      </c>
      <c r="H25" s="81">
        <f t="shared" si="8"/>
        <v>86.399999999999977</v>
      </c>
      <c r="I25" s="81">
        <f t="shared" si="5"/>
        <v>950.4</v>
      </c>
      <c r="J25" s="80" t="s">
        <v>69</v>
      </c>
    </row>
    <row r="26" spans="1:10" s="3" customFormat="1">
      <c r="A26" s="20" t="s">
        <v>88</v>
      </c>
      <c r="B26" s="90" t="s">
        <v>179</v>
      </c>
      <c r="C26" s="91" t="s">
        <v>158</v>
      </c>
      <c r="D26" s="98">
        <v>60</v>
      </c>
      <c r="E26" s="85">
        <f t="shared" si="6"/>
        <v>638.00000000000011</v>
      </c>
      <c r="F26" s="92">
        <v>669.90000000000009</v>
      </c>
      <c r="G26" s="81">
        <f t="shared" si="7"/>
        <v>40194</v>
      </c>
      <c r="H26" s="81">
        <f t="shared" si="8"/>
        <v>4019.4000000000015</v>
      </c>
      <c r="I26" s="81">
        <f t="shared" si="5"/>
        <v>44213.4</v>
      </c>
      <c r="J26" s="80" t="s">
        <v>69</v>
      </c>
    </row>
    <row r="27" spans="1:10" s="3" customFormat="1">
      <c r="A27" s="20" t="s">
        <v>89</v>
      </c>
      <c r="B27" s="90" t="s">
        <v>180</v>
      </c>
      <c r="C27" s="91" t="s">
        <v>171</v>
      </c>
      <c r="D27" s="98">
        <v>56</v>
      </c>
      <c r="E27" s="85">
        <f t="shared" si="6"/>
        <v>27.619047619047617</v>
      </c>
      <c r="F27" s="92">
        <v>29</v>
      </c>
      <c r="G27" s="81">
        <f t="shared" si="7"/>
        <v>1624</v>
      </c>
      <c r="H27" s="81">
        <f t="shared" si="8"/>
        <v>162.40000000000009</v>
      </c>
      <c r="I27" s="81">
        <f t="shared" si="5"/>
        <v>1786.4</v>
      </c>
      <c r="J27" s="80" t="s">
        <v>69</v>
      </c>
    </row>
    <row r="28" spans="1:10" s="3" customFormat="1">
      <c r="A28" s="20" t="s">
        <v>90</v>
      </c>
      <c r="B28" s="90" t="s">
        <v>181</v>
      </c>
      <c r="C28" s="91" t="s">
        <v>158</v>
      </c>
      <c r="D28" s="98">
        <v>2</v>
      </c>
      <c r="E28" s="85">
        <f t="shared" si="6"/>
        <v>83.333333333333329</v>
      </c>
      <c r="F28" s="92">
        <v>87.5</v>
      </c>
      <c r="G28" s="81">
        <f t="shared" si="7"/>
        <v>175</v>
      </c>
      <c r="H28" s="81">
        <f t="shared" si="8"/>
        <v>17.5</v>
      </c>
      <c r="I28" s="81">
        <f t="shared" si="5"/>
        <v>192.5</v>
      </c>
      <c r="J28" s="80" t="s">
        <v>69</v>
      </c>
    </row>
    <row r="29" spans="1:10" s="3" customFormat="1">
      <c r="A29" s="20" t="s">
        <v>91</v>
      </c>
      <c r="B29" s="90" t="s">
        <v>182</v>
      </c>
      <c r="C29" s="91" t="s">
        <v>171</v>
      </c>
      <c r="D29" s="98">
        <v>5</v>
      </c>
      <c r="E29" s="85">
        <f t="shared" si="6"/>
        <v>27.142857142857142</v>
      </c>
      <c r="F29" s="92">
        <v>28.5</v>
      </c>
      <c r="G29" s="81">
        <f t="shared" si="7"/>
        <v>142.5</v>
      </c>
      <c r="H29" s="81">
        <f t="shared" si="8"/>
        <v>14.25</v>
      </c>
      <c r="I29" s="81">
        <f t="shared" si="5"/>
        <v>156.75</v>
      </c>
      <c r="J29" s="80" t="s">
        <v>69</v>
      </c>
    </row>
    <row r="30" spans="1:10" s="3" customFormat="1">
      <c r="A30" s="20" t="s">
        <v>92</v>
      </c>
      <c r="B30" s="90" t="s">
        <v>183</v>
      </c>
      <c r="C30" s="91" t="s">
        <v>160</v>
      </c>
      <c r="D30" s="98">
        <v>2</v>
      </c>
      <c r="E30" s="85">
        <f t="shared" si="6"/>
        <v>37.61904761904762</v>
      </c>
      <c r="F30" s="92">
        <v>39.5</v>
      </c>
      <c r="G30" s="81">
        <f t="shared" si="7"/>
        <v>79</v>
      </c>
      <c r="H30" s="81">
        <f t="shared" si="8"/>
        <v>7.9000000000000057</v>
      </c>
      <c r="I30" s="81">
        <f t="shared" si="5"/>
        <v>86.9</v>
      </c>
      <c r="J30" s="80" t="s">
        <v>69</v>
      </c>
    </row>
    <row r="31" spans="1:10" s="3" customFormat="1">
      <c r="A31" s="20" t="s">
        <v>93</v>
      </c>
      <c r="B31" s="90" t="s">
        <v>184</v>
      </c>
      <c r="C31" s="91" t="s">
        <v>158</v>
      </c>
      <c r="D31" s="98">
        <v>5</v>
      </c>
      <c r="E31" s="85">
        <f t="shared" si="6"/>
        <v>803.80952380952374</v>
      </c>
      <c r="F31" s="92">
        <v>844</v>
      </c>
      <c r="G31" s="81">
        <f t="shared" si="7"/>
        <v>4220</v>
      </c>
      <c r="H31" s="81">
        <f t="shared" si="8"/>
        <v>422</v>
      </c>
      <c r="I31" s="81">
        <f t="shared" si="5"/>
        <v>4642</v>
      </c>
      <c r="J31" s="80" t="s">
        <v>69</v>
      </c>
    </row>
    <row r="32" spans="1:10" s="3" customFormat="1">
      <c r="A32" s="20" t="s">
        <v>94</v>
      </c>
      <c r="B32" s="90" t="s">
        <v>185</v>
      </c>
      <c r="C32" s="91" t="s">
        <v>158</v>
      </c>
      <c r="D32" s="98">
        <v>12</v>
      </c>
      <c r="E32" s="85">
        <f t="shared" si="6"/>
        <v>1384.2857142857142</v>
      </c>
      <c r="F32" s="92">
        <v>1453.5</v>
      </c>
      <c r="G32" s="81">
        <f t="shared" si="7"/>
        <v>17442</v>
      </c>
      <c r="H32" s="81">
        <f t="shared" si="8"/>
        <v>1744.2000000000007</v>
      </c>
      <c r="I32" s="81">
        <f t="shared" si="5"/>
        <v>19186.2</v>
      </c>
      <c r="J32" s="80" t="s">
        <v>69</v>
      </c>
    </row>
    <row r="33" spans="1:10" s="3" customFormat="1">
      <c r="A33" s="20" t="s">
        <v>95</v>
      </c>
      <c r="B33" s="90" t="s">
        <v>186</v>
      </c>
      <c r="C33" s="91" t="s">
        <v>171</v>
      </c>
      <c r="D33" s="98">
        <v>2</v>
      </c>
      <c r="E33" s="85">
        <f t="shared" si="6"/>
        <v>840.47619047619048</v>
      </c>
      <c r="F33" s="92">
        <v>882.5</v>
      </c>
      <c r="G33" s="81">
        <f t="shared" si="7"/>
        <v>1765</v>
      </c>
      <c r="H33" s="81">
        <f t="shared" si="8"/>
        <v>176.5</v>
      </c>
      <c r="I33" s="81">
        <f t="shared" si="5"/>
        <v>1941.5</v>
      </c>
      <c r="J33" s="80" t="s">
        <v>69</v>
      </c>
    </row>
    <row r="34" spans="1:10" s="3" customFormat="1">
      <c r="A34" s="20" t="s">
        <v>96</v>
      </c>
      <c r="B34" s="90" t="s">
        <v>187</v>
      </c>
      <c r="C34" s="91" t="s">
        <v>158</v>
      </c>
      <c r="D34" s="98">
        <v>10</v>
      </c>
      <c r="E34" s="85">
        <f t="shared" si="6"/>
        <v>237.14285714285714</v>
      </c>
      <c r="F34" s="92">
        <v>249</v>
      </c>
      <c r="G34" s="81">
        <f t="shared" si="7"/>
        <v>2490</v>
      </c>
      <c r="H34" s="81">
        <f t="shared" si="8"/>
        <v>249</v>
      </c>
      <c r="I34" s="81">
        <f t="shared" si="5"/>
        <v>2739</v>
      </c>
      <c r="J34" s="80" t="s">
        <v>69</v>
      </c>
    </row>
    <row r="35" spans="1:10" s="3" customFormat="1">
      <c r="A35" s="20" t="s">
        <v>97</v>
      </c>
      <c r="B35" s="90" t="s">
        <v>188</v>
      </c>
      <c r="C35" s="91" t="s">
        <v>158</v>
      </c>
      <c r="D35" s="98">
        <v>10</v>
      </c>
      <c r="E35" s="85">
        <f t="shared" si="6"/>
        <v>40</v>
      </c>
      <c r="F35" s="92">
        <v>42</v>
      </c>
      <c r="G35" s="81">
        <f t="shared" si="7"/>
        <v>420</v>
      </c>
      <c r="H35" s="81">
        <f t="shared" si="8"/>
        <v>42</v>
      </c>
      <c r="I35" s="81">
        <f t="shared" si="5"/>
        <v>462</v>
      </c>
      <c r="J35" s="80" t="s">
        <v>69</v>
      </c>
    </row>
    <row r="36" spans="1:10" s="3" customFormat="1">
      <c r="A36" s="20" t="s">
        <v>98</v>
      </c>
      <c r="B36" s="90" t="s">
        <v>189</v>
      </c>
      <c r="C36" s="91" t="s">
        <v>158</v>
      </c>
      <c r="D36" s="98">
        <v>3</v>
      </c>
      <c r="E36" s="85">
        <f t="shared" si="6"/>
        <v>274.28571428571428</v>
      </c>
      <c r="F36" s="92">
        <v>288</v>
      </c>
      <c r="G36" s="81">
        <f t="shared" si="7"/>
        <v>864</v>
      </c>
      <c r="H36" s="81">
        <f t="shared" si="8"/>
        <v>86.399999999999977</v>
      </c>
      <c r="I36" s="81">
        <f t="shared" si="5"/>
        <v>950.4</v>
      </c>
      <c r="J36" s="80" t="s">
        <v>69</v>
      </c>
    </row>
    <row r="37" spans="1:10" s="3" customFormat="1">
      <c r="A37" s="20" t="s">
        <v>99</v>
      </c>
      <c r="B37" s="90" t="s">
        <v>190</v>
      </c>
      <c r="C37" s="91" t="s">
        <v>160</v>
      </c>
      <c r="D37" s="98">
        <v>50</v>
      </c>
      <c r="E37" s="85">
        <f t="shared" si="6"/>
        <v>126.66666666666666</v>
      </c>
      <c r="F37" s="92">
        <v>133</v>
      </c>
      <c r="G37" s="81">
        <f t="shared" si="7"/>
        <v>6650</v>
      </c>
      <c r="H37" s="81">
        <f t="shared" si="8"/>
        <v>665</v>
      </c>
      <c r="I37" s="81">
        <f t="shared" si="5"/>
        <v>7315</v>
      </c>
      <c r="J37" s="80" t="s">
        <v>69</v>
      </c>
    </row>
    <row r="38" spans="1:10" s="3" customFormat="1">
      <c r="A38" s="20" t="s">
        <v>100</v>
      </c>
      <c r="B38" s="90" t="s">
        <v>191</v>
      </c>
      <c r="C38" s="91" t="s">
        <v>160</v>
      </c>
      <c r="D38" s="98">
        <v>50</v>
      </c>
      <c r="E38" s="85">
        <f t="shared" si="6"/>
        <v>126.66666666666666</v>
      </c>
      <c r="F38" s="92">
        <v>133</v>
      </c>
      <c r="G38" s="81">
        <f t="shared" si="7"/>
        <v>6650</v>
      </c>
      <c r="H38" s="81">
        <f t="shared" si="8"/>
        <v>665</v>
      </c>
      <c r="I38" s="81">
        <f t="shared" si="5"/>
        <v>7315</v>
      </c>
      <c r="J38" s="80" t="s">
        <v>69</v>
      </c>
    </row>
    <row r="39" spans="1:10" s="3" customFormat="1">
      <c r="A39" s="20" t="s">
        <v>101</v>
      </c>
      <c r="B39" s="90" t="s">
        <v>192</v>
      </c>
      <c r="C39" s="91" t="s">
        <v>171</v>
      </c>
      <c r="D39" s="98">
        <v>5</v>
      </c>
      <c r="E39" s="85">
        <f t="shared" si="6"/>
        <v>11.428571428571429</v>
      </c>
      <c r="F39" s="92">
        <v>12</v>
      </c>
      <c r="G39" s="81">
        <f t="shared" si="7"/>
        <v>60</v>
      </c>
      <c r="H39" s="81">
        <f t="shared" si="8"/>
        <v>6</v>
      </c>
      <c r="I39" s="81">
        <f t="shared" si="5"/>
        <v>66</v>
      </c>
      <c r="J39" s="80" t="s">
        <v>69</v>
      </c>
    </row>
    <row r="40" spans="1:10" s="3" customFormat="1">
      <c r="A40" s="20" t="s">
        <v>102</v>
      </c>
      <c r="B40" s="90" t="s">
        <v>193</v>
      </c>
      <c r="C40" s="91" t="s">
        <v>158</v>
      </c>
      <c r="D40" s="98">
        <v>50</v>
      </c>
      <c r="E40" s="85">
        <f t="shared" si="6"/>
        <v>1380.952380952381</v>
      </c>
      <c r="F40" s="92">
        <v>1450</v>
      </c>
      <c r="G40" s="81">
        <f t="shared" si="7"/>
        <v>72500</v>
      </c>
      <c r="H40" s="81">
        <f t="shared" si="8"/>
        <v>7250</v>
      </c>
      <c r="I40" s="81">
        <f t="shared" si="5"/>
        <v>79750</v>
      </c>
      <c r="J40" s="80" t="s">
        <v>69</v>
      </c>
    </row>
    <row r="41" spans="1:10" s="3" customFormat="1">
      <c r="A41" s="20" t="s">
        <v>103</v>
      </c>
      <c r="B41" s="90" t="s">
        <v>194</v>
      </c>
      <c r="C41" s="91" t="s">
        <v>171</v>
      </c>
      <c r="D41" s="98">
        <v>2</v>
      </c>
      <c r="E41" s="85">
        <f t="shared" si="6"/>
        <v>69.523809523809518</v>
      </c>
      <c r="F41" s="92">
        <v>73</v>
      </c>
      <c r="G41" s="81">
        <f t="shared" si="7"/>
        <v>146</v>
      </c>
      <c r="H41" s="81">
        <f t="shared" si="8"/>
        <v>14.599999999999994</v>
      </c>
      <c r="I41" s="81">
        <f t="shared" si="5"/>
        <v>160.6</v>
      </c>
      <c r="J41" s="80" t="s">
        <v>69</v>
      </c>
    </row>
    <row r="42" spans="1:10" s="3" customFormat="1">
      <c r="A42" s="20" t="s">
        <v>104</v>
      </c>
      <c r="B42" s="90" t="s">
        <v>195</v>
      </c>
      <c r="C42" s="91" t="s">
        <v>158</v>
      </c>
      <c r="D42" s="98">
        <v>5</v>
      </c>
      <c r="E42" s="85">
        <f t="shared" si="6"/>
        <v>202.85714285714286</v>
      </c>
      <c r="F42" s="92">
        <v>213</v>
      </c>
      <c r="G42" s="81">
        <f t="shared" si="7"/>
        <v>1065</v>
      </c>
      <c r="H42" s="81">
        <f t="shared" si="8"/>
        <v>106.5</v>
      </c>
      <c r="I42" s="81">
        <f t="shared" si="5"/>
        <v>1171.5</v>
      </c>
      <c r="J42" s="80" t="s">
        <v>69</v>
      </c>
    </row>
    <row r="43" spans="1:10" s="3" customFormat="1">
      <c r="A43" s="20" t="s">
        <v>105</v>
      </c>
      <c r="B43" s="90" t="s">
        <v>196</v>
      </c>
      <c r="C43" s="91" t="s">
        <v>160</v>
      </c>
      <c r="D43" s="98">
        <v>4</v>
      </c>
      <c r="E43" s="85">
        <f t="shared" si="6"/>
        <v>362.85714285714283</v>
      </c>
      <c r="F43" s="92">
        <v>381</v>
      </c>
      <c r="G43" s="81">
        <f t="shared" si="7"/>
        <v>1524</v>
      </c>
      <c r="H43" s="81">
        <f t="shared" si="8"/>
        <v>152.40000000000009</v>
      </c>
      <c r="I43" s="81">
        <f t="shared" si="5"/>
        <v>1676.4</v>
      </c>
      <c r="J43" s="80" t="s">
        <v>69</v>
      </c>
    </row>
    <row r="44" spans="1:10" s="3" customFormat="1">
      <c r="A44" s="20" t="s">
        <v>106</v>
      </c>
      <c r="B44" s="90" t="s">
        <v>197</v>
      </c>
      <c r="C44" s="91" t="s">
        <v>158</v>
      </c>
      <c r="D44" s="98">
        <v>5</v>
      </c>
      <c r="E44" s="85">
        <f t="shared" si="6"/>
        <v>31.904761904761905</v>
      </c>
      <c r="F44" s="92">
        <v>33.5</v>
      </c>
      <c r="G44" s="81">
        <f t="shared" si="7"/>
        <v>167.5</v>
      </c>
      <c r="H44" s="81">
        <f t="shared" si="8"/>
        <v>16.75</v>
      </c>
      <c r="I44" s="81">
        <f t="shared" si="5"/>
        <v>184.25</v>
      </c>
      <c r="J44" s="80" t="s">
        <v>69</v>
      </c>
    </row>
    <row r="45" spans="1:10" s="3" customFormat="1">
      <c r="A45" s="20" t="s">
        <v>107</v>
      </c>
      <c r="B45" s="90" t="s">
        <v>198</v>
      </c>
      <c r="C45" s="91" t="s">
        <v>158</v>
      </c>
      <c r="D45" s="98">
        <v>80</v>
      </c>
      <c r="E45" s="85">
        <f t="shared" si="6"/>
        <v>42.857142857142854</v>
      </c>
      <c r="F45" s="92">
        <v>45</v>
      </c>
      <c r="G45" s="81">
        <f t="shared" si="7"/>
        <v>3600</v>
      </c>
      <c r="H45" s="81">
        <f t="shared" si="8"/>
        <v>360</v>
      </c>
      <c r="I45" s="81">
        <f t="shared" si="5"/>
        <v>3960</v>
      </c>
      <c r="J45" s="80" t="s">
        <v>69</v>
      </c>
    </row>
    <row r="46" spans="1:10" s="3" customFormat="1">
      <c r="A46" s="20" t="s">
        <v>108</v>
      </c>
      <c r="B46" s="90" t="s">
        <v>199</v>
      </c>
      <c r="C46" s="91" t="s">
        <v>171</v>
      </c>
      <c r="D46" s="98">
        <v>6</v>
      </c>
      <c r="E46" s="85">
        <f t="shared" si="6"/>
        <v>163.33333333333331</v>
      </c>
      <c r="F46" s="92">
        <v>171.5</v>
      </c>
      <c r="G46" s="81">
        <f t="shared" si="7"/>
        <v>1029</v>
      </c>
      <c r="H46" s="81">
        <f t="shared" si="8"/>
        <v>102.90000000000009</v>
      </c>
      <c r="I46" s="81">
        <f t="shared" si="5"/>
        <v>1131.9000000000001</v>
      </c>
      <c r="J46" s="80" t="s">
        <v>69</v>
      </c>
    </row>
    <row r="47" spans="1:10" s="3" customFormat="1">
      <c r="A47" s="20" t="s">
        <v>109</v>
      </c>
      <c r="B47" s="90" t="s">
        <v>200</v>
      </c>
      <c r="C47" s="91" t="s">
        <v>158</v>
      </c>
      <c r="D47" s="98">
        <v>80</v>
      </c>
      <c r="E47" s="85">
        <f t="shared" si="6"/>
        <v>445.23809523809524</v>
      </c>
      <c r="F47" s="92">
        <v>467.5</v>
      </c>
      <c r="G47" s="81">
        <f t="shared" si="7"/>
        <v>37400</v>
      </c>
      <c r="H47" s="81">
        <f t="shared" si="8"/>
        <v>3740</v>
      </c>
      <c r="I47" s="81">
        <f t="shared" si="5"/>
        <v>41140</v>
      </c>
      <c r="J47" s="80" t="s">
        <v>69</v>
      </c>
    </row>
    <row r="48" spans="1:10" s="3" customFormat="1">
      <c r="A48" s="20" t="s">
        <v>110</v>
      </c>
      <c r="B48" s="90" t="s">
        <v>201</v>
      </c>
      <c r="C48" s="91" t="s">
        <v>158</v>
      </c>
      <c r="D48" s="98">
        <v>50</v>
      </c>
      <c r="E48" s="85">
        <f t="shared" si="6"/>
        <v>541.90476190476193</v>
      </c>
      <c r="F48" s="92">
        <v>569</v>
      </c>
      <c r="G48" s="81">
        <f t="shared" si="7"/>
        <v>28450</v>
      </c>
      <c r="H48" s="81">
        <f t="shared" si="8"/>
        <v>2845</v>
      </c>
      <c r="I48" s="81">
        <f t="shared" si="5"/>
        <v>31295</v>
      </c>
      <c r="J48" s="80" t="s">
        <v>69</v>
      </c>
    </row>
    <row r="49" spans="1:10" s="3" customFormat="1">
      <c r="A49" s="20" t="s">
        <v>111</v>
      </c>
      <c r="B49" s="90" t="s">
        <v>202</v>
      </c>
      <c r="C49" s="91" t="s">
        <v>158</v>
      </c>
      <c r="D49" s="98">
        <v>60</v>
      </c>
      <c r="E49" s="85">
        <f t="shared" si="6"/>
        <v>251.42857142857142</v>
      </c>
      <c r="F49" s="92">
        <v>264</v>
      </c>
      <c r="G49" s="81">
        <f t="shared" si="7"/>
        <v>15840</v>
      </c>
      <c r="H49" s="81">
        <f t="shared" si="8"/>
        <v>1584</v>
      </c>
      <c r="I49" s="81">
        <f t="shared" si="5"/>
        <v>17424</v>
      </c>
      <c r="J49" s="80" t="s">
        <v>69</v>
      </c>
    </row>
    <row r="50" spans="1:10" s="3" customFormat="1">
      <c r="A50" s="20" t="s">
        <v>112</v>
      </c>
      <c r="B50" s="90" t="s">
        <v>203</v>
      </c>
      <c r="C50" s="91" t="s">
        <v>171</v>
      </c>
      <c r="D50" s="98">
        <v>30</v>
      </c>
      <c r="E50" s="85">
        <f t="shared" si="6"/>
        <v>303.8095238095238</v>
      </c>
      <c r="F50" s="92">
        <v>319</v>
      </c>
      <c r="G50" s="81">
        <f t="shared" si="7"/>
        <v>9570</v>
      </c>
      <c r="H50" s="81">
        <f t="shared" si="8"/>
        <v>957</v>
      </c>
      <c r="I50" s="81">
        <f t="shared" si="5"/>
        <v>10527</v>
      </c>
      <c r="J50" s="80" t="s">
        <v>69</v>
      </c>
    </row>
    <row r="51" spans="1:10" s="3" customFormat="1">
      <c r="A51" s="20" t="s">
        <v>113</v>
      </c>
      <c r="B51" s="90" t="s">
        <v>204</v>
      </c>
      <c r="C51" s="91" t="s">
        <v>160</v>
      </c>
      <c r="D51" s="98">
        <v>30</v>
      </c>
      <c r="E51" s="85">
        <f t="shared" si="6"/>
        <v>594.28571428571422</v>
      </c>
      <c r="F51" s="92">
        <v>624</v>
      </c>
      <c r="G51" s="81">
        <f t="shared" si="7"/>
        <v>18720</v>
      </c>
      <c r="H51" s="81">
        <f t="shared" si="8"/>
        <v>1872</v>
      </c>
      <c r="I51" s="81">
        <f t="shared" si="5"/>
        <v>20592</v>
      </c>
      <c r="J51" s="80" t="s">
        <v>69</v>
      </c>
    </row>
    <row r="52" spans="1:10" s="3" customFormat="1" ht="31.2">
      <c r="A52" s="20" t="s">
        <v>114</v>
      </c>
      <c r="B52" s="90" t="s">
        <v>205</v>
      </c>
      <c r="C52" s="91" t="s">
        <v>158</v>
      </c>
      <c r="D52" s="98">
        <v>20</v>
      </c>
      <c r="E52" s="85">
        <f t="shared" si="6"/>
        <v>287.61904761904759</v>
      </c>
      <c r="F52" s="92">
        <v>302</v>
      </c>
      <c r="G52" s="81">
        <f t="shared" si="7"/>
        <v>6040</v>
      </c>
      <c r="H52" s="81">
        <f t="shared" si="8"/>
        <v>604</v>
      </c>
      <c r="I52" s="81">
        <f t="shared" si="5"/>
        <v>6644</v>
      </c>
      <c r="J52" s="80" t="s">
        <v>69</v>
      </c>
    </row>
    <row r="53" spans="1:10" s="3" customFormat="1">
      <c r="A53" s="20" t="s">
        <v>115</v>
      </c>
      <c r="B53" s="90" t="s">
        <v>206</v>
      </c>
      <c r="C53" s="91" t="s">
        <v>158</v>
      </c>
      <c r="D53" s="98">
        <v>200</v>
      </c>
      <c r="E53" s="85">
        <f t="shared" si="6"/>
        <v>35.714285714285715</v>
      </c>
      <c r="F53" s="92">
        <v>37.5</v>
      </c>
      <c r="G53" s="81">
        <f t="shared" si="7"/>
        <v>7500</v>
      </c>
      <c r="H53" s="81">
        <f t="shared" si="8"/>
        <v>750</v>
      </c>
      <c r="I53" s="81">
        <f t="shared" si="5"/>
        <v>8250</v>
      </c>
      <c r="J53" s="80" t="s">
        <v>69</v>
      </c>
    </row>
    <row r="54" spans="1:10" s="3" customFormat="1">
      <c r="A54" s="20" t="s">
        <v>116</v>
      </c>
      <c r="B54" s="90" t="s">
        <v>207</v>
      </c>
      <c r="C54" s="91" t="s">
        <v>171</v>
      </c>
      <c r="D54" s="98">
        <v>2156</v>
      </c>
      <c r="E54" s="85">
        <f t="shared" si="6"/>
        <v>28.095238095238095</v>
      </c>
      <c r="F54" s="92">
        <v>29.5</v>
      </c>
      <c r="G54" s="81">
        <f t="shared" si="7"/>
        <v>63602</v>
      </c>
      <c r="H54" s="81">
        <f t="shared" si="8"/>
        <v>6360.1999999999971</v>
      </c>
      <c r="I54" s="81">
        <f t="shared" si="5"/>
        <v>69962.2</v>
      </c>
      <c r="J54" s="80" t="s">
        <v>69</v>
      </c>
    </row>
    <row r="55" spans="1:10" s="3" customFormat="1">
      <c r="A55" s="20" t="s">
        <v>117</v>
      </c>
      <c r="B55" s="90" t="s">
        <v>208</v>
      </c>
      <c r="C55" s="91" t="s">
        <v>171</v>
      </c>
      <c r="D55" s="98">
        <v>5</v>
      </c>
      <c r="E55" s="85">
        <f t="shared" si="6"/>
        <v>24.285714285714285</v>
      </c>
      <c r="F55" s="92">
        <v>25.5</v>
      </c>
      <c r="G55" s="81">
        <f t="shared" si="7"/>
        <v>127.5</v>
      </c>
      <c r="H55" s="81">
        <f t="shared" si="8"/>
        <v>12.75</v>
      </c>
      <c r="I55" s="81">
        <f t="shared" si="5"/>
        <v>140.25</v>
      </c>
      <c r="J55" s="80" t="s">
        <v>69</v>
      </c>
    </row>
    <row r="56" spans="1:10" s="3" customFormat="1">
      <c r="A56" s="20" t="s">
        <v>118</v>
      </c>
      <c r="B56" s="90" t="s">
        <v>209</v>
      </c>
      <c r="C56" s="91" t="s">
        <v>171</v>
      </c>
      <c r="D56" s="98">
        <v>1</v>
      </c>
      <c r="E56" s="85">
        <f t="shared" si="6"/>
        <v>356.1904761904762</v>
      </c>
      <c r="F56" s="92">
        <v>374.00000000000006</v>
      </c>
      <c r="G56" s="81">
        <f t="shared" si="7"/>
        <v>374</v>
      </c>
      <c r="H56" s="81">
        <f t="shared" si="8"/>
        <v>37.399999999999977</v>
      </c>
      <c r="I56" s="81">
        <f t="shared" si="5"/>
        <v>411.4</v>
      </c>
      <c r="J56" s="80" t="s">
        <v>69</v>
      </c>
    </row>
    <row r="57" spans="1:10" s="3" customFormat="1">
      <c r="A57" s="20" t="s">
        <v>119</v>
      </c>
      <c r="B57" s="90" t="s">
        <v>210</v>
      </c>
      <c r="C57" s="91" t="s">
        <v>158</v>
      </c>
      <c r="D57" s="98">
        <v>5</v>
      </c>
      <c r="E57" s="85">
        <f t="shared" si="6"/>
        <v>40.952380952380949</v>
      </c>
      <c r="F57" s="92">
        <v>43</v>
      </c>
      <c r="G57" s="81">
        <f t="shared" si="7"/>
        <v>215</v>
      </c>
      <c r="H57" s="81">
        <f t="shared" si="8"/>
        <v>21.5</v>
      </c>
      <c r="I57" s="81">
        <f t="shared" si="5"/>
        <v>236.5</v>
      </c>
      <c r="J57" s="80" t="s">
        <v>69</v>
      </c>
    </row>
    <row r="58" spans="1:10" s="3" customFormat="1">
      <c r="A58" s="20" t="s">
        <v>120</v>
      </c>
      <c r="B58" s="90" t="s">
        <v>211</v>
      </c>
      <c r="C58" s="91" t="s">
        <v>158</v>
      </c>
      <c r="D58" s="98">
        <v>50</v>
      </c>
      <c r="E58" s="85">
        <f t="shared" si="6"/>
        <v>22.857142857142858</v>
      </c>
      <c r="F58" s="92">
        <v>24</v>
      </c>
      <c r="G58" s="81">
        <f t="shared" si="7"/>
        <v>1200</v>
      </c>
      <c r="H58" s="81">
        <f t="shared" si="8"/>
        <v>120</v>
      </c>
      <c r="I58" s="81">
        <f t="shared" si="5"/>
        <v>1320</v>
      </c>
      <c r="J58" s="80" t="s">
        <v>69</v>
      </c>
    </row>
    <row r="59" spans="1:10" s="3" customFormat="1">
      <c r="A59" s="20" t="s">
        <v>121</v>
      </c>
      <c r="B59" s="90" t="s">
        <v>212</v>
      </c>
      <c r="C59" s="91" t="s">
        <v>158</v>
      </c>
      <c r="D59" s="98">
        <v>2</v>
      </c>
      <c r="E59" s="85">
        <f t="shared" si="6"/>
        <v>313.33333333333331</v>
      </c>
      <c r="F59" s="92">
        <v>329</v>
      </c>
      <c r="G59" s="81">
        <f t="shared" si="7"/>
        <v>658</v>
      </c>
      <c r="H59" s="81">
        <f t="shared" si="8"/>
        <v>65.799999999999955</v>
      </c>
      <c r="I59" s="81">
        <f t="shared" si="5"/>
        <v>723.8</v>
      </c>
      <c r="J59" s="80" t="s">
        <v>69</v>
      </c>
    </row>
    <row r="60" spans="1:10" s="3" customFormat="1">
      <c r="A60" s="20" t="s">
        <v>122</v>
      </c>
      <c r="B60" s="90" t="s">
        <v>213</v>
      </c>
      <c r="C60" s="91" t="s">
        <v>171</v>
      </c>
      <c r="D60" s="98">
        <v>6</v>
      </c>
      <c r="E60" s="85">
        <f t="shared" si="6"/>
        <v>484.76190476190476</v>
      </c>
      <c r="F60" s="92">
        <v>509</v>
      </c>
      <c r="G60" s="81">
        <f t="shared" si="7"/>
        <v>3054</v>
      </c>
      <c r="H60" s="81">
        <f t="shared" si="8"/>
        <v>305.40000000000009</v>
      </c>
      <c r="I60" s="81">
        <f t="shared" si="5"/>
        <v>3359.4</v>
      </c>
      <c r="J60" s="80" t="s">
        <v>69</v>
      </c>
    </row>
    <row r="61" spans="1:10" s="3" customFormat="1">
      <c r="A61" s="20" t="s">
        <v>123</v>
      </c>
      <c r="B61" s="90" t="s">
        <v>214</v>
      </c>
      <c r="C61" s="91" t="s">
        <v>158</v>
      </c>
      <c r="D61" s="98">
        <v>1</v>
      </c>
      <c r="E61" s="85">
        <f t="shared" si="6"/>
        <v>12000</v>
      </c>
      <c r="F61" s="92">
        <v>12600</v>
      </c>
      <c r="G61" s="81">
        <f t="shared" si="7"/>
        <v>12600</v>
      </c>
      <c r="H61" s="81">
        <f t="shared" si="8"/>
        <v>1260</v>
      </c>
      <c r="I61" s="81">
        <f t="shared" si="5"/>
        <v>13860</v>
      </c>
      <c r="J61" s="80" t="s">
        <v>69</v>
      </c>
    </row>
    <row r="62" spans="1:10" s="3" customFormat="1">
      <c r="A62" s="20" t="s">
        <v>124</v>
      </c>
      <c r="B62" s="90" t="s">
        <v>215</v>
      </c>
      <c r="C62" s="91" t="s">
        <v>171</v>
      </c>
      <c r="D62" s="98">
        <v>5</v>
      </c>
      <c r="E62" s="85">
        <f t="shared" si="6"/>
        <v>394.28571428571428</v>
      </c>
      <c r="F62" s="92">
        <v>414</v>
      </c>
      <c r="G62" s="81">
        <f t="shared" si="7"/>
        <v>2070</v>
      </c>
      <c r="H62" s="81">
        <f t="shared" si="8"/>
        <v>207</v>
      </c>
      <c r="I62" s="81">
        <f t="shared" si="5"/>
        <v>2277</v>
      </c>
      <c r="J62" s="80" t="s">
        <v>69</v>
      </c>
    </row>
    <row r="63" spans="1:10" s="3" customFormat="1">
      <c r="A63" s="20" t="s">
        <v>125</v>
      </c>
      <c r="B63" s="90" t="s">
        <v>216</v>
      </c>
      <c r="C63" s="91" t="s">
        <v>171</v>
      </c>
      <c r="D63" s="98">
        <v>6</v>
      </c>
      <c r="E63" s="85">
        <f t="shared" si="6"/>
        <v>299.04761904761904</v>
      </c>
      <c r="F63" s="92">
        <v>314</v>
      </c>
      <c r="G63" s="81">
        <f t="shared" si="7"/>
        <v>1884</v>
      </c>
      <c r="H63" s="81">
        <f t="shared" si="8"/>
        <v>188.40000000000009</v>
      </c>
      <c r="I63" s="81">
        <f t="shared" si="5"/>
        <v>2072.4</v>
      </c>
      <c r="J63" s="80" t="s">
        <v>69</v>
      </c>
    </row>
    <row r="64" spans="1:10" s="3" customFormat="1">
      <c r="A64" s="20" t="s">
        <v>126</v>
      </c>
      <c r="B64" s="90" t="s">
        <v>217</v>
      </c>
      <c r="C64" s="91" t="s">
        <v>171</v>
      </c>
      <c r="D64" s="98">
        <v>3</v>
      </c>
      <c r="E64" s="85">
        <f t="shared" si="6"/>
        <v>344.76190476190476</v>
      </c>
      <c r="F64" s="92">
        <v>362</v>
      </c>
      <c r="G64" s="81">
        <f t="shared" si="7"/>
        <v>1086</v>
      </c>
      <c r="H64" s="81">
        <f t="shared" si="8"/>
        <v>108.59999999999991</v>
      </c>
      <c r="I64" s="81">
        <f t="shared" si="5"/>
        <v>1194.5999999999999</v>
      </c>
      <c r="J64" s="80" t="s">
        <v>69</v>
      </c>
    </row>
    <row r="65" spans="1:10" s="3" customFormat="1">
      <c r="A65" s="20" t="s">
        <v>127</v>
      </c>
      <c r="B65" s="90" t="s">
        <v>218</v>
      </c>
      <c r="C65" s="91" t="s">
        <v>171</v>
      </c>
      <c r="D65" s="98">
        <v>200</v>
      </c>
      <c r="E65" s="85">
        <f t="shared" si="6"/>
        <v>6.6666666666666661</v>
      </c>
      <c r="F65" s="92">
        <v>7</v>
      </c>
      <c r="G65" s="81">
        <f t="shared" si="7"/>
        <v>1400</v>
      </c>
      <c r="H65" s="81">
        <f t="shared" si="8"/>
        <v>140</v>
      </c>
      <c r="I65" s="81">
        <f t="shared" si="5"/>
        <v>1540</v>
      </c>
      <c r="J65" s="80" t="s">
        <v>69</v>
      </c>
    </row>
    <row r="66" spans="1:10" s="3" customFormat="1">
      <c r="A66" s="20" t="s">
        <v>128</v>
      </c>
      <c r="B66" s="90" t="s">
        <v>219</v>
      </c>
      <c r="C66" s="91" t="s">
        <v>160</v>
      </c>
      <c r="D66" s="98">
        <v>1</v>
      </c>
      <c r="E66" s="85">
        <f t="shared" si="6"/>
        <v>1129.5238095238094</v>
      </c>
      <c r="F66" s="92">
        <v>1186</v>
      </c>
      <c r="G66" s="81">
        <f t="shared" si="7"/>
        <v>1186</v>
      </c>
      <c r="H66" s="81">
        <f t="shared" si="8"/>
        <v>118.59999999999991</v>
      </c>
      <c r="I66" s="81">
        <f t="shared" si="5"/>
        <v>1304.5999999999999</v>
      </c>
      <c r="J66" s="80" t="s">
        <v>69</v>
      </c>
    </row>
    <row r="67" spans="1:10" s="3" customFormat="1">
      <c r="A67" s="20" t="s">
        <v>129</v>
      </c>
      <c r="B67" s="90" t="s">
        <v>220</v>
      </c>
      <c r="C67" s="91" t="s">
        <v>160</v>
      </c>
      <c r="D67" s="98">
        <v>200</v>
      </c>
      <c r="E67" s="85">
        <f t="shared" si="6"/>
        <v>38.095238095238095</v>
      </c>
      <c r="F67" s="92">
        <v>40</v>
      </c>
      <c r="G67" s="81">
        <f t="shared" si="7"/>
        <v>8000</v>
      </c>
      <c r="H67" s="81">
        <f t="shared" si="8"/>
        <v>800</v>
      </c>
      <c r="I67" s="81">
        <f t="shared" si="5"/>
        <v>8800</v>
      </c>
      <c r="J67" s="80" t="s">
        <v>69</v>
      </c>
    </row>
    <row r="68" spans="1:10" s="3" customFormat="1">
      <c r="A68" s="20" t="s">
        <v>130</v>
      </c>
      <c r="B68" s="90" t="s">
        <v>221</v>
      </c>
      <c r="C68" s="91" t="s">
        <v>158</v>
      </c>
      <c r="D68" s="98">
        <v>10</v>
      </c>
      <c r="E68" s="85">
        <f t="shared" si="6"/>
        <v>434.28571428571428</v>
      </c>
      <c r="F68" s="92">
        <v>456</v>
      </c>
      <c r="G68" s="81">
        <f t="shared" si="7"/>
        <v>4560</v>
      </c>
      <c r="H68" s="81">
        <f t="shared" si="8"/>
        <v>456</v>
      </c>
      <c r="I68" s="81">
        <f t="shared" si="5"/>
        <v>5016</v>
      </c>
      <c r="J68" s="80" t="s">
        <v>69</v>
      </c>
    </row>
    <row r="69" spans="1:10" s="3" customFormat="1">
      <c r="A69" s="20" t="s">
        <v>131</v>
      </c>
      <c r="B69" s="90" t="s">
        <v>222</v>
      </c>
      <c r="C69" s="91" t="s">
        <v>158</v>
      </c>
      <c r="D69" s="98">
        <v>1</v>
      </c>
      <c r="E69" s="85">
        <f t="shared" si="6"/>
        <v>291.42857142857139</v>
      </c>
      <c r="F69" s="92">
        <v>306</v>
      </c>
      <c r="G69" s="81">
        <f t="shared" si="7"/>
        <v>306</v>
      </c>
      <c r="H69" s="81">
        <f t="shared" si="8"/>
        <v>30.600000000000023</v>
      </c>
      <c r="I69" s="81">
        <f t="shared" si="5"/>
        <v>336.6</v>
      </c>
      <c r="J69" s="80" t="s">
        <v>69</v>
      </c>
    </row>
    <row r="70" spans="1:10" s="3" customFormat="1">
      <c r="A70" s="20" t="s">
        <v>132</v>
      </c>
      <c r="B70" s="90" t="s">
        <v>223</v>
      </c>
      <c r="C70" s="91" t="s">
        <v>171</v>
      </c>
      <c r="D70" s="98">
        <v>8</v>
      </c>
      <c r="E70" s="85">
        <f t="shared" si="6"/>
        <v>27.619047619047617</v>
      </c>
      <c r="F70" s="92">
        <v>29</v>
      </c>
      <c r="G70" s="81">
        <f t="shared" si="7"/>
        <v>232</v>
      </c>
      <c r="H70" s="81">
        <f t="shared" si="8"/>
        <v>23.199999999999989</v>
      </c>
      <c r="I70" s="81">
        <f t="shared" si="5"/>
        <v>255.2</v>
      </c>
      <c r="J70" s="80" t="s">
        <v>69</v>
      </c>
    </row>
    <row r="71" spans="1:10" s="3" customFormat="1">
      <c r="A71" s="20" t="s">
        <v>133</v>
      </c>
      <c r="B71" s="90" t="s">
        <v>224</v>
      </c>
      <c r="C71" s="91" t="s">
        <v>158</v>
      </c>
      <c r="D71" s="98">
        <v>30</v>
      </c>
      <c r="E71" s="85">
        <f t="shared" si="6"/>
        <v>50.476190476190474</v>
      </c>
      <c r="F71" s="92">
        <v>53</v>
      </c>
      <c r="G71" s="81">
        <f t="shared" si="7"/>
        <v>1590</v>
      </c>
      <c r="H71" s="81">
        <f t="shared" si="8"/>
        <v>159</v>
      </c>
      <c r="I71" s="81">
        <f t="shared" si="5"/>
        <v>1749</v>
      </c>
      <c r="J71" s="80" t="s">
        <v>69</v>
      </c>
    </row>
    <row r="72" spans="1:10" s="3" customFormat="1">
      <c r="A72" s="20" t="s">
        <v>134</v>
      </c>
      <c r="B72" s="90" t="s">
        <v>225</v>
      </c>
      <c r="C72" s="91" t="s">
        <v>158</v>
      </c>
      <c r="D72" s="98">
        <v>1</v>
      </c>
      <c r="E72" s="85">
        <f t="shared" si="6"/>
        <v>4170.4761904761899</v>
      </c>
      <c r="F72" s="92">
        <v>4379</v>
      </c>
      <c r="G72" s="81">
        <f t="shared" si="7"/>
        <v>4379</v>
      </c>
      <c r="H72" s="81">
        <f t="shared" si="8"/>
        <v>437.89999999999964</v>
      </c>
      <c r="I72" s="81">
        <f t="shared" ref="I72:I93" si="9">ROUND(G72*1.1, 2)</f>
        <v>4816.8999999999996</v>
      </c>
      <c r="J72" s="80" t="s">
        <v>69</v>
      </c>
    </row>
    <row r="73" spans="1:10" s="3" customFormat="1">
      <c r="A73" s="20" t="s">
        <v>135</v>
      </c>
      <c r="B73" s="90" t="s">
        <v>226</v>
      </c>
      <c r="C73" s="91" t="s">
        <v>158</v>
      </c>
      <c r="D73" s="98">
        <v>2</v>
      </c>
      <c r="E73" s="85">
        <f t="shared" si="6"/>
        <v>8.0952380952380949</v>
      </c>
      <c r="F73" s="92">
        <v>8.5</v>
      </c>
      <c r="G73" s="81">
        <f t="shared" si="7"/>
        <v>17</v>
      </c>
      <c r="H73" s="81">
        <f t="shared" si="8"/>
        <v>1.6999999999999993</v>
      </c>
      <c r="I73" s="81">
        <f t="shared" si="9"/>
        <v>18.7</v>
      </c>
      <c r="J73" s="80" t="s">
        <v>69</v>
      </c>
    </row>
    <row r="74" spans="1:10" s="3" customFormat="1">
      <c r="A74" s="20" t="s">
        <v>136</v>
      </c>
      <c r="B74" s="90" t="s">
        <v>227</v>
      </c>
      <c r="C74" s="91" t="s">
        <v>158</v>
      </c>
      <c r="D74" s="98">
        <v>4</v>
      </c>
      <c r="E74" s="85">
        <f t="shared" si="6"/>
        <v>318.57142857142856</v>
      </c>
      <c r="F74" s="92">
        <v>334.5</v>
      </c>
      <c r="G74" s="81">
        <f t="shared" si="7"/>
        <v>1338</v>
      </c>
      <c r="H74" s="81">
        <f t="shared" si="8"/>
        <v>133.79999999999995</v>
      </c>
      <c r="I74" s="81">
        <f t="shared" si="9"/>
        <v>1471.8</v>
      </c>
      <c r="J74" s="80" t="s">
        <v>69</v>
      </c>
    </row>
    <row r="75" spans="1:10" s="3" customFormat="1">
      <c r="A75" s="20" t="s">
        <v>137</v>
      </c>
      <c r="B75" s="90" t="s">
        <v>228</v>
      </c>
      <c r="C75" s="91" t="s">
        <v>158</v>
      </c>
      <c r="D75" s="98">
        <v>200</v>
      </c>
      <c r="E75" s="85">
        <f t="shared" si="6"/>
        <v>774.28571428571422</v>
      </c>
      <c r="F75" s="92">
        <v>813</v>
      </c>
      <c r="G75" s="81">
        <f t="shared" si="7"/>
        <v>162600</v>
      </c>
      <c r="H75" s="81">
        <f t="shared" si="8"/>
        <v>16260</v>
      </c>
      <c r="I75" s="81">
        <f t="shared" si="9"/>
        <v>178860</v>
      </c>
      <c r="J75" s="80" t="s">
        <v>69</v>
      </c>
    </row>
    <row r="76" spans="1:10" s="3" customFormat="1">
      <c r="A76" s="20" t="s">
        <v>138</v>
      </c>
      <c r="B76" s="90" t="s">
        <v>229</v>
      </c>
      <c r="C76" s="91" t="s">
        <v>158</v>
      </c>
      <c r="D76" s="98">
        <v>1</v>
      </c>
      <c r="E76" s="85">
        <f t="shared" si="6"/>
        <v>354.76190476190476</v>
      </c>
      <c r="F76" s="92">
        <v>372.5</v>
      </c>
      <c r="G76" s="81">
        <f t="shared" si="7"/>
        <v>372.5</v>
      </c>
      <c r="H76" s="81">
        <f t="shared" si="8"/>
        <v>37.25</v>
      </c>
      <c r="I76" s="81">
        <f t="shared" si="9"/>
        <v>409.75</v>
      </c>
      <c r="J76" s="80" t="s">
        <v>69</v>
      </c>
    </row>
    <row r="77" spans="1:10" s="3" customFormat="1">
      <c r="A77" s="20" t="s">
        <v>139</v>
      </c>
      <c r="B77" s="90" t="s">
        <v>230</v>
      </c>
      <c r="C77" s="91" t="s">
        <v>158</v>
      </c>
      <c r="D77" s="98">
        <v>5</v>
      </c>
      <c r="E77" s="85">
        <f t="shared" si="6"/>
        <v>9.0476190476190474</v>
      </c>
      <c r="F77" s="92">
        <v>9.5</v>
      </c>
      <c r="G77" s="81">
        <f t="shared" si="7"/>
        <v>47.5</v>
      </c>
      <c r="H77" s="81">
        <f t="shared" si="8"/>
        <v>4.75</v>
      </c>
      <c r="I77" s="81">
        <f t="shared" si="9"/>
        <v>52.25</v>
      </c>
      <c r="J77" s="80" t="s">
        <v>69</v>
      </c>
    </row>
    <row r="78" spans="1:10" s="3" customFormat="1">
      <c r="A78" s="20" t="s">
        <v>140</v>
      </c>
      <c r="B78" s="90" t="s">
        <v>231</v>
      </c>
      <c r="C78" s="91" t="s">
        <v>160</v>
      </c>
      <c r="D78" s="98">
        <v>20</v>
      </c>
      <c r="E78" s="85">
        <f t="shared" si="6"/>
        <v>30.952380952380953</v>
      </c>
      <c r="F78" s="92">
        <v>32.5</v>
      </c>
      <c r="G78" s="81">
        <f t="shared" si="7"/>
        <v>650</v>
      </c>
      <c r="H78" s="81">
        <f t="shared" si="8"/>
        <v>65</v>
      </c>
      <c r="I78" s="81">
        <f t="shared" si="9"/>
        <v>715</v>
      </c>
      <c r="J78" s="80" t="s">
        <v>69</v>
      </c>
    </row>
    <row r="79" spans="1:10" s="3" customFormat="1">
      <c r="A79" s="20" t="s">
        <v>141</v>
      </c>
      <c r="B79" s="90" t="s">
        <v>232</v>
      </c>
      <c r="C79" s="91" t="s">
        <v>158</v>
      </c>
      <c r="D79" s="98">
        <v>5</v>
      </c>
      <c r="E79" s="85">
        <f t="shared" si="6"/>
        <v>162.85714285714286</v>
      </c>
      <c r="F79" s="92">
        <v>171</v>
      </c>
      <c r="G79" s="81">
        <f t="shared" si="7"/>
        <v>855</v>
      </c>
      <c r="H79" s="81">
        <f t="shared" si="8"/>
        <v>85.5</v>
      </c>
      <c r="I79" s="81">
        <f t="shared" si="9"/>
        <v>940.5</v>
      </c>
      <c r="J79" s="80" t="s">
        <v>69</v>
      </c>
    </row>
    <row r="80" spans="1:10" s="3" customFormat="1">
      <c r="A80" s="20" t="s">
        <v>142</v>
      </c>
      <c r="B80" s="90" t="s">
        <v>233</v>
      </c>
      <c r="C80" s="91" t="s">
        <v>158</v>
      </c>
      <c r="D80" s="98">
        <v>6</v>
      </c>
      <c r="E80" s="85">
        <f t="shared" si="6"/>
        <v>36.666666666666664</v>
      </c>
      <c r="F80" s="92">
        <v>38.5</v>
      </c>
      <c r="G80" s="81">
        <f t="shared" si="7"/>
        <v>231</v>
      </c>
      <c r="H80" s="81">
        <f t="shared" si="8"/>
        <v>23.099999999999994</v>
      </c>
      <c r="I80" s="81">
        <f t="shared" si="9"/>
        <v>254.1</v>
      </c>
      <c r="J80" s="80" t="s">
        <v>69</v>
      </c>
    </row>
    <row r="81" spans="1:10" s="3" customFormat="1">
      <c r="A81" s="20" t="s">
        <v>143</v>
      </c>
      <c r="B81" s="90" t="s">
        <v>234</v>
      </c>
      <c r="C81" s="91" t="s">
        <v>158</v>
      </c>
      <c r="D81" s="98">
        <v>60</v>
      </c>
      <c r="E81" s="85">
        <f t="shared" ref="E81:E93" si="10">F81/1.05</f>
        <v>1690.952380952381</v>
      </c>
      <c r="F81" s="92">
        <v>1775.5</v>
      </c>
      <c r="G81" s="81">
        <f t="shared" ref="G81:G93" si="11">ROUND(F81*D81, 2)</f>
        <v>106530</v>
      </c>
      <c r="H81" s="81">
        <f t="shared" ref="H81:H93" si="12">I81-G81</f>
        <v>10653</v>
      </c>
      <c r="I81" s="81">
        <f t="shared" si="9"/>
        <v>117183</v>
      </c>
      <c r="J81" s="80" t="s">
        <v>69</v>
      </c>
    </row>
    <row r="82" spans="1:10" s="3" customFormat="1">
      <c r="A82" s="20" t="s">
        <v>144</v>
      </c>
      <c r="B82" s="90" t="s">
        <v>235</v>
      </c>
      <c r="C82" s="91" t="s">
        <v>158</v>
      </c>
      <c r="D82" s="98">
        <v>1</v>
      </c>
      <c r="E82" s="85">
        <f t="shared" si="10"/>
        <v>449.52380952380952</v>
      </c>
      <c r="F82" s="92">
        <v>472</v>
      </c>
      <c r="G82" s="81">
        <f t="shared" si="11"/>
        <v>472</v>
      </c>
      <c r="H82" s="81">
        <f t="shared" si="12"/>
        <v>47.200000000000045</v>
      </c>
      <c r="I82" s="81">
        <f t="shared" si="9"/>
        <v>519.20000000000005</v>
      </c>
      <c r="J82" s="80" t="s">
        <v>69</v>
      </c>
    </row>
    <row r="83" spans="1:10" s="3" customFormat="1">
      <c r="A83" s="20" t="s">
        <v>145</v>
      </c>
      <c r="B83" s="90" t="s">
        <v>236</v>
      </c>
      <c r="C83" s="91" t="s">
        <v>158</v>
      </c>
      <c r="D83" s="98">
        <v>5</v>
      </c>
      <c r="E83" s="85">
        <f t="shared" si="10"/>
        <v>234.76190476190476</v>
      </c>
      <c r="F83" s="92">
        <v>246.5</v>
      </c>
      <c r="G83" s="81">
        <f t="shared" si="11"/>
        <v>1232.5</v>
      </c>
      <c r="H83" s="81">
        <f t="shared" si="12"/>
        <v>123.25</v>
      </c>
      <c r="I83" s="81">
        <f t="shared" si="9"/>
        <v>1355.75</v>
      </c>
      <c r="J83" s="80" t="s">
        <v>69</v>
      </c>
    </row>
    <row r="84" spans="1:10" s="3" customFormat="1">
      <c r="A84" s="20" t="s">
        <v>146</v>
      </c>
      <c r="B84" s="90" t="s">
        <v>237</v>
      </c>
      <c r="C84" s="91" t="s">
        <v>158</v>
      </c>
      <c r="D84" s="98">
        <v>30</v>
      </c>
      <c r="E84" s="85">
        <f t="shared" si="10"/>
        <v>10</v>
      </c>
      <c r="F84" s="92">
        <v>10.5</v>
      </c>
      <c r="G84" s="81">
        <f t="shared" si="11"/>
        <v>315</v>
      </c>
      <c r="H84" s="81">
        <f t="shared" si="12"/>
        <v>31.5</v>
      </c>
      <c r="I84" s="81">
        <f t="shared" si="9"/>
        <v>346.5</v>
      </c>
      <c r="J84" s="80" t="s">
        <v>69</v>
      </c>
    </row>
    <row r="85" spans="1:10" s="3" customFormat="1">
      <c r="A85" s="20" t="s">
        <v>147</v>
      </c>
      <c r="B85" s="90" t="s">
        <v>238</v>
      </c>
      <c r="C85" s="91" t="s">
        <v>158</v>
      </c>
      <c r="D85" s="98">
        <v>60</v>
      </c>
      <c r="E85" s="85">
        <f t="shared" si="10"/>
        <v>1245.2380952380952</v>
      </c>
      <c r="F85" s="92">
        <v>1307.5</v>
      </c>
      <c r="G85" s="81">
        <f t="shared" si="11"/>
        <v>78450</v>
      </c>
      <c r="H85" s="81">
        <f t="shared" si="12"/>
        <v>7845</v>
      </c>
      <c r="I85" s="81">
        <f t="shared" si="9"/>
        <v>86295</v>
      </c>
      <c r="J85" s="80" t="s">
        <v>69</v>
      </c>
    </row>
    <row r="86" spans="1:10" s="3" customFormat="1">
      <c r="A86" s="20" t="s">
        <v>148</v>
      </c>
      <c r="B86" s="90" t="s">
        <v>239</v>
      </c>
      <c r="C86" s="91" t="s">
        <v>158</v>
      </c>
      <c r="D86" s="98">
        <v>60</v>
      </c>
      <c r="E86" s="85">
        <f t="shared" si="10"/>
        <v>719.52380952380952</v>
      </c>
      <c r="F86" s="92">
        <v>755.5</v>
      </c>
      <c r="G86" s="81">
        <f t="shared" si="11"/>
        <v>45330</v>
      </c>
      <c r="H86" s="81">
        <f t="shared" si="12"/>
        <v>4533</v>
      </c>
      <c r="I86" s="81">
        <f t="shared" si="9"/>
        <v>49863</v>
      </c>
      <c r="J86" s="80" t="s">
        <v>69</v>
      </c>
    </row>
    <row r="87" spans="1:10" s="3" customFormat="1">
      <c r="A87" s="20" t="s">
        <v>149</v>
      </c>
      <c r="B87" s="90" t="s">
        <v>240</v>
      </c>
      <c r="C87" s="91" t="s">
        <v>158</v>
      </c>
      <c r="D87" s="98">
        <v>60</v>
      </c>
      <c r="E87" s="85">
        <f t="shared" si="10"/>
        <v>1320.952380952381</v>
      </c>
      <c r="F87" s="92">
        <v>1387</v>
      </c>
      <c r="G87" s="81">
        <f t="shared" si="11"/>
        <v>83220</v>
      </c>
      <c r="H87" s="81">
        <f t="shared" si="12"/>
        <v>8322</v>
      </c>
      <c r="I87" s="81">
        <f t="shared" si="9"/>
        <v>91542</v>
      </c>
      <c r="J87" s="80" t="s">
        <v>69</v>
      </c>
    </row>
    <row r="88" spans="1:10" s="3" customFormat="1">
      <c r="A88" s="20" t="s">
        <v>150</v>
      </c>
      <c r="B88" s="90" t="s">
        <v>241</v>
      </c>
      <c r="C88" s="91" t="s">
        <v>171</v>
      </c>
      <c r="D88" s="98">
        <v>30</v>
      </c>
      <c r="E88" s="85">
        <f t="shared" si="10"/>
        <v>22.857142857142858</v>
      </c>
      <c r="F88" s="92">
        <v>24</v>
      </c>
      <c r="G88" s="81">
        <f t="shared" si="11"/>
        <v>720</v>
      </c>
      <c r="H88" s="81">
        <f t="shared" si="12"/>
        <v>72</v>
      </c>
      <c r="I88" s="81">
        <f t="shared" si="9"/>
        <v>792</v>
      </c>
      <c r="J88" s="80" t="s">
        <v>69</v>
      </c>
    </row>
    <row r="89" spans="1:10" s="3" customFormat="1">
      <c r="A89" s="20" t="s">
        <v>151</v>
      </c>
      <c r="B89" s="90" t="s">
        <v>242</v>
      </c>
      <c r="C89" s="91" t="s">
        <v>158</v>
      </c>
      <c r="D89" s="98">
        <v>10</v>
      </c>
      <c r="E89" s="85">
        <f t="shared" si="10"/>
        <v>1048.5714285714284</v>
      </c>
      <c r="F89" s="92">
        <v>1101</v>
      </c>
      <c r="G89" s="81">
        <f t="shared" si="11"/>
        <v>11010</v>
      </c>
      <c r="H89" s="81">
        <f t="shared" si="12"/>
        <v>1101</v>
      </c>
      <c r="I89" s="81">
        <f t="shared" si="9"/>
        <v>12111</v>
      </c>
      <c r="J89" s="80" t="s">
        <v>69</v>
      </c>
    </row>
    <row r="90" spans="1:10" s="3" customFormat="1">
      <c r="A90" s="20" t="s">
        <v>152</v>
      </c>
      <c r="B90" s="90" t="s">
        <v>243</v>
      </c>
      <c r="C90" s="91" t="s">
        <v>158</v>
      </c>
      <c r="D90" s="98">
        <v>40</v>
      </c>
      <c r="E90" s="85">
        <f t="shared" si="10"/>
        <v>148.57142857142856</v>
      </c>
      <c r="F90" s="92">
        <v>156</v>
      </c>
      <c r="G90" s="81">
        <f t="shared" si="11"/>
        <v>6240</v>
      </c>
      <c r="H90" s="81">
        <f t="shared" si="12"/>
        <v>624</v>
      </c>
      <c r="I90" s="81">
        <f t="shared" si="9"/>
        <v>6864</v>
      </c>
      <c r="J90" s="80" t="s">
        <v>69</v>
      </c>
    </row>
    <row r="91" spans="1:10" s="3" customFormat="1">
      <c r="A91" s="20" t="s">
        <v>153</v>
      </c>
      <c r="B91" s="90" t="s">
        <v>244</v>
      </c>
      <c r="C91" s="91" t="s">
        <v>158</v>
      </c>
      <c r="D91" s="98">
        <v>6</v>
      </c>
      <c r="E91" s="85">
        <f t="shared" si="10"/>
        <v>4135.7142857142853</v>
      </c>
      <c r="F91" s="92">
        <v>4342.5</v>
      </c>
      <c r="G91" s="81">
        <f t="shared" si="11"/>
        <v>26055</v>
      </c>
      <c r="H91" s="81">
        <f t="shared" si="12"/>
        <v>2605.5</v>
      </c>
      <c r="I91" s="81">
        <f t="shared" si="9"/>
        <v>28660.5</v>
      </c>
      <c r="J91" s="80" t="s">
        <v>69</v>
      </c>
    </row>
    <row r="92" spans="1:10" s="3" customFormat="1">
      <c r="A92" s="20" t="s">
        <v>154</v>
      </c>
      <c r="B92" s="90" t="s">
        <v>245</v>
      </c>
      <c r="C92" s="91" t="s">
        <v>158</v>
      </c>
      <c r="D92" s="98">
        <v>6</v>
      </c>
      <c r="E92" s="85">
        <f t="shared" si="10"/>
        <v>879.52380952380952</v>
      </c>
      <c r="F92" s="92">
        <v>923.5</v>
      </c>
      <c r="G92" s="81">
        <f t="shared" si="11"/>
        <v>5541</v>
      </c>
      <c r="H92" s="81">
        <f t="shared" si="12"/>
        <v>554.10000000000036</v>
      </c>
      <c r="I92" s="81">
        <f t="shared" si="9"/>
        <v>6095.1</v>
      </c>
      <c r="J92" s="80" t="s">
        <v>69</v>
      </c>
    </row>
    <row r="93" spans="1:10" s="3" customFormat="1" ht="18.600000000000001" thickBot="1">
      <c r="A93" s="20" t="s">
        <v>155</v>
      </c>
      <c r="B93" s="90" t="s">
        <v>246</v>
      </c>
      <c r="C93" s="91" t="s">
        <v>158</v>
      </c>
      <c r="D93" s="98">
        <v>5</v>
      </c>
      <c r="E93" s="85">
        <f t="shared" si="10"/>
        <v>38.571428571428569</v>
      </c>
      <c r="F93" s="92">
        <v>40.5</v>
      </c>
      <c r="G93" s="81">
        <f t="shared" si="11"/>
        <v>202.5</v>
      </c>
      <c r="H93" s="81">
        <f t="shared" si="12"/>
        <v>20.25</v>
      </c>
      <c r="I93" s="81">
        <f t="shared" si="9"/>
        <v>222.75</v>
      </c>
      <c r="J93" s="80" t="s">
        <v>69</v>
      </c>
    </row>
    <row r="94" spans="1:10" s="9" customFormat="1" ht="18.600000000000001" thickBot="1">
      <c r="A94" s="71"/>
      <c r="B94" s="72" t="s">
        <v>2</v>
      </c>
      <c r="C94" s="73"/>
      <c r="D94" s="73"/>
      <c r="E94" s="74"/>
      <c r="F94" s="74"/>
      <c r="G94" s="82">
        <f>SUM(G7:G93)</f>
        <v>1093045</v>
      </c>
      <c r="H94" s="82">
        <f>SUM(H7:H93)</f>
        <v>109304.50000000001</v>
      </c>
      <c r="I94" s="82">
        <f>SUM(I7:I93)</f>
        <v>1202349.5</v>
      </c>
      <c r="J94" s="75"/>
    </row>
    <row r="95" spans="1:10" s="9" customFormat="1">
      <c r="A95" s="76"/>
      <c r="B95" s="10"/>
      <c r="C95" s="11"/>
      <c r="D95" s="11"/>
      <c r="E95" s="77"/>
      <c r="F95" s="77"/>
      <c r="G95" s="78"/>
      <c r="H95" s="78"/>
      <c r="I95" s="78"/>
      <c r="J95" s="79"/>
    </row>
    <row r="96" spans="1:10" s="9" customFormat="1">
      <c r="A96" s="76"/>
      <c r="B96" s="10"/>
      <c r="C96" s="11"/>
      <c r="D96" s="11"/>
      <c r="E96" s="77"/>
      <c r="F96" s="77"/>
      <c r="G96" s="78"/>
      <c r="H96" s="78"/>
      <c r="I96" s="78"/>
      <c r="J96" s="79"/>
    </row>
    <row r="97" spans="1:10" s="8" customFormat="1" ht="18.75" customHeight="1">
      <c r="A97" s="13"/>
      <c r="B97" s="13"/>
      <c r="C97" s="13"/>
      <c r="D97" s="13"/>
      <c r="E97" s="13"/>
      <c r="F97" s="13"/>
      <c r="G97" s="14"/>
      <c r="H97" s="14"/>
      <c r="I97" s="14"/>
      <c r="J97" s="14"/>
    </row>
    <row r="98" spans="1:10" s="70" customFormat="1" ht="45.6" customHeight="1">
      <c r="A98" s="103" t="str">
        <f>CONCATENATE("Всего:"," Стоимость с НДС ",TRUNC(I94, 0)," (",'Формула числа прописью (с НДС)'!B4,")",", в том числе НДС 10% - ",TRUNC(H94,0)," (",'Формула числа прописью (НДС)'!B4,")")</f>
        <v>Всего: Стоимость с НДС 1202349 (Один миллион двести две тысячи триста сорок девять рублей 50 коп.), в том числе НДС 10% - 109304 (Сто девять тысяч триста четыре рубля 50 коп.)</v>
      </c>
      <c r="B98" s="103"/>
      <c r="C98" s="103"/>
      <c r="D98" s="103"/>
      <c r="E98" s="103"/>
      <c r="F98" s="103"/>
      <c r="G98" s="103"/>
      <c r="H98" s="103"/>
      <c r="I98" s="103"/>
      <c r="J98" s="103"/>
    </row>
    <row r="99" spans="1:10">
      <c r="F99" s="12"/>
      <c r="G99" s="15"/>
    </row>
    <row r="100" spans="1:10" ht="18.75" customHeight="1">
      <c r="B100" s="101" t="s">
        <v>64</v>
      </c>
      <c r="C100" s="101"/>
      <c r="D100" s="101"/>
      <c r="E100" s="101"/>
      <c r="F100" s="101"/>
      <c r="G100" s="101"/>
      <c r="H100" s="101"/>
      <c r="I100" s="101"/>
    </row>
    <row r="101" spans="1:10" ht="37.950000000000003" customHeight="1">
      <c r="B101" s="102" t="s">
        <v>66</v>
      </c>
      <c r="C101" s="102"/>
      <c r="D101" s="102"/>
      <c r="E101" s="102"/>
      <c r="F101" s="102"/>
      <c r="G101" s="102"/>
      <c r="H101" s="65"/>
    </row>
    <row r="102" spans="1:10" ht="18.75" customHeight="1">
      <c r="B102" s="102" t="s">
        <v>65</v>
      </c>
      <c r="C102" s="102"/>
      <c r="D102" s="102"/>
      <c r="E102" s="102"/>
      <c r="F102" s="102"/>
      <c r="G102" s="102"/>
      <c r="H102" s="102"/>
      <c r="I102" s="102"/>
    </row>
    <row r="103" spans="1:10">
      <c r="B103" s="66"/>
      <c r="C103" s="66"/>
      <c r="D103" s="66"/>
      <c r="E103" s="66"/>
      <c r="F103" s="67"/>
      <c r="G103" s="67"/>
      <c r="H103" s="68"/>
      <c r="I103" s="68"/>
    </row>
    <row r="104" spans="1:10">
      <c r="B104" s="111" t="s">
        <v>247</v>
      </c>
      <c r="C104" s="111"/>
      <c r="D104" s="111"/>
      <c r="E104" s="111"/>
      <c r="F104" s="111"/>
      <c r="G104" s="111"/>
      <c r="H104" s="69"/>
      <c r="I104" s="69"/>
    </row>
    <row r="105" spans="1:10">
      <c r="B105" s="111"/>
      <c r="C105" s="111"/>
      <c r="D105" s="111"/>
      <c r="E105" s="111"/>
      <c r="F105" s="111"/>
      <c r="G105" s="111"/>
    </row>
    <row r="106" spans="1:10">
      <c r="B106" s="111"/>
      <c r="C106" s="111"/>
      <c r="D106" s="111"/>
      <c r="E106" s="111"/>
      <c r="F106" s="111"/>
      <c r="G106" s="111"/>
    </row>
  </sheetData>
  <protectedRanges>
    <protectedRange sqref="D104" name="Диапазон1_1_1"/>
    <protectedRange sqref="B104" name="Диапазон1_2_1"/>
  </protectedRanges>
  <autoFilter ref="A6:K94"/>
  <mergeCells count="7">
    <mergeCell ref="B104:G106"/>
    <mergeCell ref="B3:J3"/>
    <mergeCell ref="A5:J5"/>
    <mergeCell ref="B100:I100"/>
    <mergeCell ref="B102:I102"/>
    <mergeCell ref="B101:G101"/>
    <mergeCell ref="A98:J98"/>
  </mergeCells>
  <phoneticPr fontId="1" type="noConversion"/>
  <pageMargins left="0.35433070866141736" right="0.35433070866141736" top="0.19685039370078741" bottom="0.35433070866141736" header="0.19685039370078741" footer="0.43307086614173229"/>
  <pageSetup paperSize="9" scale="65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26"/>
  </sheetPr>
  <dimension ref="A1:S101"/>
  <sheetViews>
    <sheetView workbookViewId="0">
      <selection activeCell="G2" sqref="G2"/>
    </sheetView>
  </sheetViews>
  <sheetFormatPr defaultColWidth="8.33203125" defaultRowHeight="13.2"/>
  <cols>
    <col min="1" max="1" width="15.44140625" style="22" customWidth="1"/>
    <col min="2" max="2" width="8.109375" style="22" customWidth="1"/>
    <col min="3" max="3" width="6" style="22" customWidth="1"/>
    <col min="4" max="4" width="12.33203125" style="22" customWidth="1"/>
    <col min="5" max="5" width="20.88671875" style="22" customWidth="1"/>
    <col min="6" max="6" width="8.5546875" style="22" customWidth="1"/>
    <col min="7" max="7" width="8.33203125" style="22" customWidth="1"/>
    <col min="8" max="8" width="12" style="39" customWidth="1"/>
    <col min="9" max="9" width="9.33203125" style="22" bestFit="1" customWidth="1"/>
    <col min="10" max="12" width="8.33203125" style="22" customWidth="1"/>
    <col min="13" max="13" width="14" style="22" bestFit="1" customWidth="1"/>
    <col min="14" max="16" width="8.33203125" style="22" customWidth="1"/>
    <col min="17" max="17" width="14" style="22" bestFit="1" customWidth="1"/>
    <col min="18" max="16384" width="8.33203125" style="22"/>
  </cols>
  <sheetData>
    <row r="1" spans="1:19" ht="30" customHeight="1">
      <c r="A1" s="106" t="s">
        <v>11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9" ht="15.6">
      <c r="B2" s="23"/>
      <c r="C2" s="23"/>
      <c r="D2" s="23"/>
      <c r="E2" s="24">
        <f>Фармпрепараты!I94</f>
        <v>1202349.5</v>
      </c>
      <c r="G2" s="25"/>
      <c r="H2" s="26"/>
    </row>
    <row r="3" spans="1:19" ht="15.6">
      <c r="A3" s="27" t="s">
        <v>12</v>
      </c>
      <c r="B3" s="28" t="str">
        <f>SUBSTITUTE(B5,F9,F10,1)</f>
        <v>Один миллион двести две тысячи триста сорок девять рублей 50 коп.</v>
      </c>
      <c r="E3" s="29"/>
      <c r="H3" s="30"/>
      <c r="I3" s="31"/>
      <c r="J3" s="30"/>
      <c r="K3" s="30"/>
      <c r="L3" s="30"/>
      <c r="M3" s="32" t="s">
        <v>13</v>
      </c>
      <c r="N3" s="107">
        <f ca="1">TODAY()</f>
        <v>42160</v>
      </c>
      <c r="O3" s="107"/>
      <c r="P3" s="31">
        <f ca="1">DAY(N3)</f>
        <v>5</v>
      </c>
      <c r="Q3" s="33" t="str">
        <f ca="1">IF(Q4&gt;7,S3,S4)</f>
        <v>июня</v>
      </c>
      <c r="R3" s="34">
        <f ca="1">YEAR(N3)</f>
        <v>2015</v>
      </c>
      <c r="S3" s="35" t="str">
        <f ca="1">IF(Q4=8,"августа",IF(Q4=9,"сентября",IF(Q4=10,"октября",IF(Q4=11,"ноября",IF(Q4=12,"декабря","не отсюда")))))</f>
        <v>не отсюда</v>
      </c>
    </row>
    <row r="4" spans="1:19">
      <c r="A4" s="27" t="s">
        <v>14</v>
      </c>
      <c r="B4" s="36" t="str">
        <f>SUBSTITUTE(B6,F9,F10,1)</f>
        <v>Один миллион двести две тысячи триста сорок девять рублей 50 коп.</v>
      </c>
      <c r="H4" s="30"/>
      <c r="I4" s="30"/>
      <c r="J4" s="30"/>
      <c r="K4" s="108" t="str">
        <f ca="1">CONCATENATE(" «  ",P3,"  »  ",Q3,"  ",R3," г.")</f>
        <v xml:space="preserve"> «  5  »  июня  2015 г.</v>
      </c>
      <c r="L4" s="108"/>
      <c r="M4" s="108"/>
      <c r="N4" s="37"/>
      <c r="O4" s="37"/>
      <c r="P4" s="30"/>
      <c r="Q4" s="33">
        <f ca="1">MONTH(N3)</f>
        <v>6</v>
      </c>
      <c r="R4" s="30"/>
      <c r="S4" s="35" t="str">
        <f ca="1">IF(Q4=1,"января",IF(Q4=2,"февраля",IF(Q4=3,"марта",IF(Q4=4,"апреля",IF(Q4=5,"мая",IF(Q4=6,"июня",IF(Q4=7,"июля","брать не отсюда")))))))</f>
        <v>июня</v>
      </c>
    </row>
    <row r="5" spans="1:19">
      <c r="A5" s="38" t="s">
        <v>15</v>
      </c>
      <c r="B5" s="36" t="str">
        <f>CONCATENATE(A8,A9,A10,A11,A12)</f>
        <v>один миллион двести две тысячи триста сорок девять рублей 50 коп.</v>
      </c>
    </row>
    <row r="6" spans="1:19" s="36" customFormat="1">
      <c r="A6" s="38" t="s">
        <v>16</v>
      </c>
      <c r="B6" s="36" t="str">
        <f>CONCATENATE(A8,A9,A10,A11,A12,B8,B9,C9)</f>
        <v>один миллион двести две тысячи триста сорок девять рублей 50 коп.</v>
      </c>
      <c r="C6" s="22"/>
      <c r="D6" s="22"/>
      <c r="E6" s="22"/>
      <c r="H6" s="40"/>
    </row>
    <row r="7" spans="1:19">
      <c r="D7" s="39"/>
      <c r="H7" s="109" t="s">
        <v>17</v>
      </c>
      <c r="I7" s="109"/>
      <c r="J7" s="109"/>
    </row>
    <row r="8" spans="1:19" ht="12.75" customHeight="1">
      <c r="A8" s="41" t="str">
        <f>CONCATENATE(IF(B15=0,"",E15),IF(B16=0,"",IF(C17&lt;20,IF(C17&lt;16,IF(C17&lt;10,E16,D17),F17),E16)),IF(B17=0,"",IF(NOT(B16=1),E17,"")),F18)</f>
        <v/>
      </c>
      <c r="D8" s="39"/>
      <c r="F8" s="42">
        <f>CODE(B6)</f>
        <v>238</v>
      </c>
      <c r="G8" s="43"/>
      <c r="H8" s="109"/>
      <c r="I8" s="109"/>
      <c r="J8" s="109"/>
    </row>
    <row r="9" spans="1:19" ht="12.75" customHeight="1">
      <c r="A9" s="44" t="str">
        <f>CONCATENATE(IF(B19=0,"",E19),IF(B20=0,"",IF(C21&lt;20,IF(C21&lt;16,IF(C21&lt;10,E20,D21),F21),E20)),IF(B21=0,"",IF(NOT(B20=1),E21,"")),F22)</f>
        <v xml:space="preserve">один миллион </v>
      </c>
      <c r="B9" s="45"/>
      <c r="D9" s="46"/>
      <c r="F9" s="42" t="str">
        <f>CHAR(F8)</f>
        <v>о</v>
      </c>
      <c r="G9" s="43"/>
      <c r="H9" s="109"/>
      <c r="I9" s="109"/>
      <c r="J9" s="109"/>
      <c r="Q9" s="47"/>
    </row>
    <row r="10" spans="1:19" s="44" customFormat="1" ht="12.75" customHeight="1">
      <c r="A10" s="44" t="str">
        <f>CONCATENATE(IF(B23=0,"",E23),IF(B24=0,"",IF(C25&lt;20,IF(C25&lt;16,IF(C25&lt;10,E24,D25),F25),E24)),IF(B25=0,"",IF(NOT(B24=1),E25,"")),F26)</f>
        <v xml:space="preserve">двести две тысячи </v>
      </c>
      <c r="D10" s="48"/>
      <c r="E10" s="49"/>
      <c r="F10" s="42" t="str">
        <f>PROPER(F9)</f>
        <v>О</v>
      </c>
      <c r="G10" s="43"/>
      <c r="H10" s="109"/>
      <c r="I10" s="109"/>
      <c r="J10" s="109"/>
    </row>
    <row r="11" spans="1:19" s="44" customFormat="1" ht="12.75" customHeight="1">
      <c r="A11" s="44" t="str">
        <f>CONCATENATE(IF(B27=0,"",E27),IF(B28=0,"",IF(C29&lt;20,IF(C29&lt;16,IF(C29&lt;10,E28,D29),F29),E28)),IF(B29=0,"",IF(NOT(B28=1),E29,"")),F30)</f>
        <v xml:space="preserve">триста сорок девять рублей </v>
      </c>
      <c r="D11" s="48"/>
      <c r="E11" s="49"/>
      <c r="H11" s="109"/>
      <c r="I11" s="109"/>
      <c r="J11" s="109"/>
    </row>
    <row r="12" spans="1:19" s="44" customFormat="1">
      <c r="A12" s="50" t="str">
        <f>CONCATENATE(IF(C31=0,"0",C31),IF(C32=0,"0",C32)," ",F33)</f>
        <v>50 коп.</v>
      </c>
      <c r="D12" s="48"/>
      <c r="E12" s="49"/>
      <c r="M12" s="51">
        <f ca="1">TODAY()</f>
        <v>42160</v>
      </c>
    </row>
    <row r="13" spans="1:19" s="44" customFormat="1">
      <c r="A13" s="50"/>
      <c r="D13" s="52"/>
      <c r="E13" s="53">
        <f>TRUNC(E2)</f>
        <v>1202349</v>
      </c>
      <c r="F13" s="52" t="s">
        <v>18</v>
      </c>
      <c r="H13" s="48"/>
      <c r="M13" s="54"/>
    </row>
    <row r="14" spans="1:19" s="44" customFormat="1">
      <c r="A14" s="55">
        <f>TRUNC(A15/10)</f>
        <v>0</v>
      </c>
      <c r="B14" s="48"/>
      <c r="C14" s="52"/>
      <c r="H14" s="48"/>
    </row>
    <row r="15" spans="1:19" s="44" customFormat="1">
      <c r="A15" s="55">
        <f>TRUNC(A16/10)</f>
        <v>0</v>
      </c>
      <c r="B15" s="48">
        <f>TRUNC(RIGHT(A15))</f>
        <v>0</v>
      </c>
      <c r="C15" s="52">
        <f>B15</f>
        <v>0</v>
      </c>
      <c r="E15" s="56" t="str">
        <f>IF(B15=1,E43,IF(B15=2,G35,IF(B15=3,G36,IF(B15=4,G37,IF(B15=5,G38,IF(B15=6,G39,IF(B15=7,G40,IF(B15=8,G41,G42))))))))</f>
        <v xml:space="preserve">девятьсот </v>
      </c>
      <c r="H15" s="48"/>
    </row>
    <row r="16" spans="1:19" s="44" customFormat="1">
      <c r="A16" s="55">
        <f>TRUNC(A17/10)</f>
        <v>0</v>
      </c>
      <c r="B16" s="48">
        <f>TRUNC(RIGHT(A16))</f>
        <v>0</v>
      </c>
      <c r="C16" s="52">
        <f>IF(B16=1,"",B16)</f>
        <v>0</v>
      </c>
      <c r="E16" s="57" t="str">
        <f>IF(OR(C16=0,B16=1),"",IF(B16=2,E35,IF(B16=3,E36,IF(B16=4,E37,IF(B16=5,E38,IF(B16=6,E39,IF(B16=7,E40,IF(B16=8,E41,E42))))))))</f>
        <v/>
      </c>
      <c r="H16" s="48"/>
    </row>
    <row r="17" spans="1:9" s="44" customFormat="1">
      <c r="A17" s="55">
        <f>TRUNC(A19/10)</f>
        <v>0</v>
      </c>
      <c r="B17" s="48">
        <f>TRUNC(RIGHT(A17))</f>
        <v>0</v>
      </c>
      <c r="C17" s="52">
        <f>IF(B16=1,B17+10,IF(B17=0,0,B17))</f>
        <v>0</v>
      </c>
      <c r="D17" s="44" t="str">
        <f>IF(AND(C17&gt;9,C17&lt;16),IF(C17=10,D34,IF(C17=11,D35,IF(C17=12,D36,IF(C17=13,D37,IF(C17=14,D38,IF(C17=15,D39,)))))),"")</f>
        <v/>
      </c>
      <c r="E17" s="57" t="str">
        <f>IF(B17=1,A34,IF(B17=2,A35,IF(B17=3,A36,IF(B17=4,A37,IF(B17=5,A38,IF(B17=6,A39,IF(B17=7,A40,IF(B17=8,A41,A42))))))))</f>
        <v xml:space="preserve">девять </v>
      </c>
      <c r="F17" s="44" t="str">
        <f>IF(AND(C17&gt;15,C17&lt;20),IF(C17=16,D40,IF(C17=17,D41,IF(C17=18,D42,IF(C17=19,D43,)))),"")</f>
        <v/>
      </c>
      <c r="H17" s="48"/>
    </row>
    <row r="18" spans="1:9" s="44" customFormat="1">
      <c r="A18" s="55"/>
      <c r="B18" s="48"/>
      <c r="D18" s="48"/>
      <c r="E18" s="44">
        <f>B17+B16*10+B15*100</f>
        <v>0</v>
      </c>
      <c r="F18" s="44" t="str">
        <f>IF(E18=0,"",IF(B16=1,"миллиардов ",IF(B17=1,"милиард ",IF(OR(B17=2,B17=3,B17=4),"миллиарда ","милиардов "))))</f>
        <v/>
      </c>
      <c r="H18" s="48"/>
    </row>
    <row r="19" spans="1:9" s="44" customFormat="1">
      <c r="A19" s="55">
        <f>TRUNC(A20/10)</f>
        <v>0</v>
      </c>
      <c r="B19" s="48">
        <f>TRUNC(RIGHT(A19))</f>
        <v>0</v>
      </c>
      <c r="C19" s="52">
        <f>B19</f>
        <v>0</v>
      </c>
      <c r="E19" s="56" t="str">
        <f>IF(B19=1,E43,IF(B19=2,G35,IF(B19=3,G36,IF(B19=4,G37,IF(B19=5,G38,IF(B19=6,G39,IF(B19=7,G40,IF(B19=8,G41,G42))))))))</f>
        <v xml:space="preserve">девятьсот </v>
      </c>
      <c r="H19" s="48"/>
    </row>
    <row r="20" spans="1:9">
      <c r="A20" s="55">
        <f>TRUNC(A21/10)</f>
        <v>0</v>
      </c>
      <c r="B20" s="48">
        <f>TRUNC(RIGHT(A20))</f>
        <v>0</v>
      </c>
      <c r="C20" s="52">
        <f>IF(B20=1,"",B20)</f>
        <v>0</v>
      </c>
      <c r="D20" s="44"/>
      <c r="E20" s="57" t="str">
        <f>IF(OR(C20=0,B20=1),"",IF(B20=2,E35,IF(B20=3,E36,IF(B20=4,E37,IF(B20=5,E38,IF(B20=6,E39,IF(B20=7,E40,IF(B20=8,E41,E42))))))))</f>
        <v/>
      </c>
      <c r="F20" s="44"/>
    </row>
    <row r="21" spans="1:9" s="44" customFormat="1">
      <c r="A21" s="55">
        <f>TRUNC(A23/10)</f>
        <v>1</v>
      </c>
      <c r="B21" s="48">
        <f>TRUNC(RIGHT(A21))</f>
        <v>1</v>
      </c>
      <c r="C21" s="52">
        <f>IF(B20=1,B21+10,IF(B21=0,0,B21))</f>
        <v>1</v>
      </c>
      <c r="D21" s="44" t="str">
        <f>IF(AND(C21&gt;9,C21&lt;16),IF(C21=10,D34,IF(C21=11,D35,IF(C21=12,D36,IF(C21=13,D37,IF(C21=14,D38,IF(C21=15,D39,)))))),"")</f>
        <v/>
      </c>
      <c r="E21" s="57" t="str">
        <f>IF(B21=1,A34,IF(B21=2,A35,IF(B21=3,A36,IF(B21=4,A37,IF(B21=5,A38,IF(B21=6,A39,IF(B21=7,A40,IF(B21=8,A41,A42))))))))</f>
        <v xml:space="preserve">один </v>
      </c>
      <c r="F21" s="44" t="str">
        <f>IF(AND(C21&gt;15,C21&lt;20),IF(C21=16,D40,IF(C21=17,D41,IF(C21=18,D42,IF(C21=19,D43,)))),"")</f>
        <v/>
      </c>
    </row>
    <row r="22" spans="1:9" s="44" customFormat="1">
      <c r="A22" s="55"/>
      <c r="B22" s="48"/>
      <c r="C22" s="52"/>
      <c r="E22" s="44">
        <f>B21+B20*10+B19*100</f>
        <v>1</v>
      </c>
      <c r="F22" s="44" t="str">
        <f>IF(E22=0,"",IF(B20=1,"миллионов ",IF(B21=1,"миллион ",IF(OR(B21=2,B21=3,B21=4),"миллиона ","миллионов "))))</f>
        <v xml:space="preserve">миллион </v>
      </c>
    </row>
    <row r="23" spans="1:9" s="44" customFormat="1">
      <c r="A23" s="55">
        <f>TRUNC(A24/10)</f>
        <v>12</v>
      </c>
      <c r="B23" s="48">
        <f>TRUNC(RIGHT(A23))</f>
        <v>2</v>
      </c>
      <c r="C23" s="52">
        <f>B23</f>
        <v>2</v>
      </c>
      <c r="E23" s="56" t="str">
        <f>IF(B23=1,E43,IF(B23=2,G35,IF(B23=3,G36,IF(B23=4,G37,IF(B23=5,G38,IF(B23=6,G39,IF(B23=7,G40,IF(B23=8,G41,G42))))))))</f>
        <v xml:space="preserve">двести </v>
      </c>
      <c r="I23" s="51"/>
    </row>
    <row r="24" spans="1:9" s="44" customFormat="1">
      <c r="A24" s="55">
        <f>TRUNC(A25/10)</f>
        <v>120</v>
      </c>
      <c r="B24" s="48">
        <f>TRUNC(RIGHT(A24))</f>
        <v>0</v>
      </c>
      <c r="C24" s="52">
        <f>IF(B24=1,"",B24)</f>
        <v>0</v>
      </c>
      <c r="E24" s="57" t="str">
        <f>IF(OR(C24=0,B24=1),"",IF(B24=2,E35,IF(B24=3,E36,IF(B24=4,E37,IF(B24=5,E38,IF(B24=6,E39,IF(B24=7,E40,IF(B24=8,E41,E42))))))))</f>
        <v/>
      </c>
    </row>
    <row r="25" spans="1:9" s="44" customFormat="1">
      <c r="A25" s="55">
        <f>TRUNC(A27/10)</f>
        <v>1202</v>
      </c>
      <c r="B25" s="48">
        <f>TRUNC(RIGHT(A25))</f>
        <v>2</v>
      </c>
      <c r="C25" s="52">
        <f>IF(B24=1,B25+10,IF(B25=0,0,B25))</f>
        <v>2</v>
      </c>
      <c r="D25" s="44" t="str">
        <f>IF(AND(C25&gt;9,C25&lt;16),IF(C25=10,D34,IF(C25=11,D35,IF(C25=12,D36,IF(C25=13,D37,IF(C25=14,D38,IF(C25=15,D39,)))))),"")</f>
        <v/>
      </c>
      <c r="E25" s="57" t="str">
        <f>IF(B25=1,B34,IF(B25=2,B35,IF(B25=3,A36,IF(B25=4,A37,IF(B25=5,A38,IF(B25=6,A39,IF(B25=7,A40,IF(B25=8,A41,A42))))))))</f>
        <v xml:space="preserve">две </v>
      </c>
      <c r="F25" s="44" t="str">
        <f>IF(AND(C25&gt;15,C25&lt;20),IF(C25=16,D40,IF(C25=17,D41,IF(C25=18,D42,IF(C25=19,D43,)))),"")</f>
        <v/>
      </c>
    </row>
    <row r="26" spans="1:9" s="44" customFormat="1">
      <c r="A26" s="55"/>
      <c r="B26" s="48"/>
      <c r="C26" s="52"/>
      <c r="E26" s="58">
        <f>B23*100+B24*10+B25</f>
        <v>202</v>
      </c>
      <c r="F26" s="44" t="str">
        <f>IF(E26=0,"",IF(B24=1,"тысяч ",IF(B25=1,"тысяча ",IF(OR(B25=2,B25=3,B25=4),"тысячи ","тысяч "))))</f>
        <v xml:space="preserve">тысячи </v>
      </c>
    </row>
    <row r="27" spans="1:9" s="44" customFormat="1">
      <c r="A27" s="55">
        <f>TRUNC(A28/10)</f>
        <v>12023</v>
      </c>
      <c r="B27" s="48">
        <f>TRUNC(RIGHT(A27))</f>
        <v>3</v>
      </c>
      <c r="C27" s="52">
        <f>B27</f>
        <v>3</v>
      </c>
      <c r="E27" s="56" t="str">
        <f>IF(B27=1,E43,IF(B27=2,G35,IF(B27=3,G36,IF(B27=4,G37,IF(B27=5,G38,IF(B27=6,G39,IF(B27=7,G40,IF(B27=8,G41,G42))))))))</f>
        <v xml:space="preserve">триста </v>
      </c>
    </row>
    <row r="28" spans="1:9" s="44" customFormat="1">
      <c r="A28" s="55">
        <f>TRUNC(A29/10)</f>
        <v>120234</v>
      </c>
      <c r="B28" s="59">
        <f>TRUNC(RIGHT(A28))</f>
        <v>4</v>
      </c>
      <c r="C28" s="52">
        <f>IF(B28=1,"",B28)</f>
        <v>4</v>
      </c>
      <c r="E28" s="57" t="str">
        <f>IF(OR(C28=0,B28=1),"",IF(C28=2,E35,IF(C28=3,E36,IF(C28=4,E37,IF(C28=5,E38,IF(C28=6,E39,IF(C28=7,E40,IF(C28=8,E41,E42))))))))</f>
        <v xml:space="preserve">сорок </v>
      </c>
      <c r="G28" s="48"/>
    </row>
    <row r="29" spans="1:9" s="44" customFormat="1">
      <c r="A29" s="55">
        <f>E13</f>
        <v>1202349</v>
      </c>
      <c r="B29" s="48">
        <f>TRUNC(RIGHT(A29))</f>
        <v>9</v>
      </c>
      <c r="C29" s="52">
        <f>IF(B28=1,B29+10,IF(B29=0,0,B29))</f>
        <v>9</v>
      </c>
      <c r="D29" s="44" t="str">
        <f>IF(AND(C29&gt;9,C29&lt;16),IF(C29=10,D34,IF(C29=11,D35,IF(C29=12,D36,IF(C29=13,D37,IF(C29=14,D38,IF(C29=15,D39,)))))),"")</f>
        <v/>
      </c>
      <c r="E29" s="57" t="str">
        <f>IF(B29=1,A34,IF(B29=2,A35,IF(B29=3,A36,IF(B29=4,A37,IF(B29=5,A38,IF(B29=6,A39,IF(B29=7,A40,IF(B29=8,A41,A42))))))))</f>
        <v xml:space="preserve">девять </v>
      </c>
      <c r="F29" s="44" t="str">
        <f>IF(AND(C29&gt;15,C29&lt;20),IF(C29=16,D40,IF(C29=17,D41,IF(C29=18,D42,IF(C29=19,D43,)))),"")</f>
        <v/>
      </c>
      <c r="G29" s="48"/>
    </row>
    <row r="30" spans="1:9" s="44" customFormat="1">
      <c r="A30" s="50"/>
      <c r="B30" s="59"/>
      <c r="C30" s="60"/>
      <c r="E30" s="58">
        <f>B27*100+B28*10+B29</f>
        <v>349</v>
      </c>
      <c r="F30" s="44" t="str">
        <f>IF(E30+E26+E22+E18=0,"ноль рублей ",IF(C29=1,"рубль ",IF(OR(C29=2,C29=3,C29=4),"рубля ","рублей ")))</f>
        <v xml:space="preserve">рублей </v>
      </c>
      <c r="G30" s="48"/>
    </row>
    <row r="31" spans="1:9" s="44" customFormat="1">
      <c r="A31" s="61">
        <f>ROUND(100*(E2-E13),0)</f>
        <v>50</v>
      </c>
      <c r="C31" s="60">
        <f>TRUNC(A31/10)</f>
        <v>5</v>
      </c>
      <c r="E31" s="57" t="str">
        <f>IF(OR(C31=1,C31=0),"",IF(C31=2,E35,IF(C31=3,E36,IF(C31=4,E37,IF(C31=5,E38,IF(C31=6,E39,IF(C31=7,E40,IF(C31=8,E41,E42))))))))</f>
        <v xml:space="preserve">пятьдесят </v>
      </c>
      <c r="H31" s="48"/>
    </row>
    <row r="32" spans="1:9" s="44" customFormat="1">
      <c r="C32" s="60">
        <f>TRUNC(A31-C31*10)</f>
        <v>0</v>
      </c>
      <c r="E32" s="57" t="str">
        <f>IF(C32=1,B34,IF(C32=2,B35,IF(C32=3,A36,IF(C32=4,A37,IF(C32=5,A38,IF(C32=6,A39,IF(C32=7,A40,IF(C32=8,A41,A42))))))))</f>
        <v xml:space="preserve">девять </v>
      </c>
      <c r="H32" s="48"/>
    </row>
    <row r="33" spans="1:11" s="44" customFormat="1">
      <c r="F33" s="44" t="s">
        <v>19</v>
      </c>
      <c r="H33" s="48"/>
    </row>
    <row r="34" spans="1:11" s="44" customFormat="1">
      <c r="A34" s="62" t="s">
        <v>20</v>
      </c>
      <c r="B34" s="62" t="s">
        <v>21</v>
      </c>
      <c r="C34" s="62"/>
      <c r="D34" s="62" t="s">
        <v>22</v>
      </c>
      <c r="H34" s="48"/>
    </row>
    <row r="35" spans="1:11" s="44" customFormat="1">
      <c r="A35" s="62" t="s">
        <v>23</v>
      </c>
      <c r="B35" s="62" t="s">
        <v>24</v>
      </c>
      <c r="C35" s="62"/>
      <c r="D35" s="62" t="s">
        <v>25</v>
      </c>
      <c r="E35" s="62" t="s">
        <v>26</v>
      </c>
      <c r="G35" s="62" t="s">
        <v>27</v>
      </c>
    </row>
    <row r="36" spans="1:11" s="44" customFormat="1">
      <c r="A36" s="62" t="s">
        <v>28</v>
      </c>
      <c r="B36" s="62"/>
      <c r="C36" s="62"/>
      <c r="D36" s="62" t="s">
        <v>29</v>
      </c>
      <c r="E36" s="62" t="s">
        <v>30</v>
      </c>
      <c r="G36" s="62" t="s">
        <v>31</v>
      </c>
    </row>
    <row r="37" spans="1:11" s="44" customFormat="1">
      <c r="A37" s="62" t="s">
        <v>32</v>
      </c>
      <c r="B37" s="62"/>
      <c r="C37" s="62"/>
      <c r="D37" s="62" t="s">
        <v>33</v>
      </c>
      <c r="E37" s="62" t="s">
        <v>34</v>
      </c>
      <c r="G37" s="62" t="s">
        <v>35</v>
      </c>
    </row>
    <row r="38" spans="1:11" s="44" customFormat="1">
      <c r="A38" s="62" t="s">
        <v>36</v>
      </c>
      <c r="B38" s="62"/>
      <c r="C38" s="62"/>
      <c r="D38" s="62" t="s">
        <v>37</v>
      </c>
      <c r="E38" s="62" t="s">
        <v>38</v>
      </c>
      <c r="G38" s="62" t="s">
        <v>39</v>
      </c>
    </row>
    <row r="39" spans="1:11" s="44" customFormat="1">
      <c r="A39" s="62" t="s">
        <v>40</v>
      </c>
      <c r="B39" s="62"/>
      <c r="C39" s="62"/>
      <c r="D39" s="62" t="s">
        <v>41</v>
      </c>
      <c r="E39" s="62" t="s">
        <v>42</v>
      </c>
      <c r="G39" s="62" t="s">
        <v>43</v>
      </c>
    </row>
    <row r="40" spans="1:11" s="44" customFormat="1">
      <c r="A40" s="62" t="s">
        <v>44</v>
      </c>
      <c r="B40" s="62"/>
      <c r="C40" s="62"/>
      <c r="D40" s="62" t="s">
        <v>45</v>
      </c>
      <c r="E40" s="62" t="s">
        <v>46</v>
      </c>
      <c r="G40" s="62" t="s">
        <v>47</v>
      </c>
    </row>
    <row r="41" spans="1:11" s="44" customFormat="1">
      <c r="A41" s="63" t="s">
        <v>48</v>
      </c>
      <c r="B41" s="62"/>
      <c r="C41" s="62"/>
      <c r="D41" s="62" t="s">
        <v>49</v>
      </c>
      <c r="E41" s="62" t="s">
        <v>50</v>
      </c>
      <c r="G41" s="62" t="s">
        <v>51</v>
      </c>
    </row>
    <row r="42" spans="1:11" s="44" customFormat="1">
      <c r="A42" s="62" t="s">
        <v>52</v>
      </c>
      <c r="B42" s="62"/>
      <c r="C42" s="62"/>
      <c r="D42" s="62" t="s">
        <v>53</v>
      </c>
      <c r="E42" s="62" t="s">
        <v>54</v>
      </c>
      <c r="G42" s="62" t="s">
        <v>55</v>
      </c>
    </row>
    <row r="43" spans="1:11" s="44" customFormat="1">
      <c r="B43" s="62"/>
      <c r="C43" s="62"/>
      <c r="D43" s="62" t="s">
        <v>56</v>
      </c>
      <c r="E43" s="62" t="s">
        <v>57</v>
      </c>
      <c r="H43" s="48"/>
    </row>
    <row r="44" spans="1:11" s="44" customFormat="1">
      <c r="A44" s="110" t="s">
        <v>58</v>
      </c>
      <c r="B44" s="110"/>
      <c r="C44" s="110"/>
      <c r="D44" s="110"/>
      <c r="E44" s="110"/>
      <c r="F44" s="110"/>
      <c r="G44" s="110"/>
      <c r="H44" s="110"/>
      <c r="I44" s="110"/>
      <c r="J44" s="105" t="s">
        <v>59</v>
      </c>
      <c r="K44" s="105"/>
    </row>
    <row r="45" spans="1:11" s="44" customFormat="1">
      <c r="A45" s="110"/>
      <c r="B45" s="110"/>
      <c r="C45" s="110"/>
      <c r="D45" s="110"/>
      <c r="E45" s="110"/>
      <c r="F45" s="110"/>
      <c r="G45" s="110"/>
      <c r="H45" s="110"/>
      <c r="I45" s="110"/>
      <c r="J45" s="105"/>
      <c r="K45" s="105"/>
    </row>
    <row r="46" spans="1:11" s="44" customFormat="1">
      <c r="B46" s="62"/>
      <c r="C46" s="62"/>
      <c r="G46" s="104" t="s">
        <v>60</v>
      </c>
      <c r="H46" s="104"/>
      <c r="I46" s="104"/>
      <c r="J46" s="64" t="s">
        <v>61</v>
      </c>
    </row>
    <row r="47" spans="1:11" s="44" customFormat="1">
      <c r="B47" s="62"/>
      <c r="C47" s="62"/>
      <c r="H47" s="48"/>
    </row>
    <row r="48" spans="1:11" s="44" customFormat="1">
      <c r="B48" s="62"/>
      <c r="C48" s="62"/>
      <c r="H48" s="48"/>
    </row>
    <row r="49" spans="2:8" s="44" customFormat="1">
      <c r="B49" s="62"/>
      <c r="C49" s="62"/>
      <c r="H49" s="48"/>
    </row>
    <row r="50" spans="2:8" s="44" customFormat="1">
      <c r="B50" s="62"/>
      <c r="C50" s="62"/>
      <c r="H50" s="48"/>
    </row>
    <row r="51" spans="2:8" s="44" customFormat="1">
      <c r="B51" s="62"/>
      <c r="C51" s="62"/>
      <c r="H51" s="48"/>
    </row>
    <row r="52" spans="2:8" s="44" customFormat="1">
      <c r="B52" s="62"/>
      <c r="C52" s="62"/>
      <c r="H52" s="48"/>
    </row>
    <row r="100" spans="1:4">
      <c r="A100" s="105" t="s">
        <v>62</v>
      </c>
      <c r="B100" s="105"/>
      <c r="C100" s="105"/>
      <c r="D100" s="105"/>
    </row>
    <row r="101" spans="1:4">
      <c r="A101" s="22" t="s">
        <v>63</v>
      </c>
    </row>
  </sheetData>
  <mergeCells count="8">
    <mergeCell ref="G46:I46"/>
    <mergeCell ref="A100:D100"/>
    <mergeCell ref="A1:N1"/>
    <mergeCell ref="N3:O3"/>
    <mergeCell ref="K4:M4"/>
    <mergeCell ref="H7:J11"/>
    <mergeCell ref="A44:I45"/>
    <mergeCell ref="J44:K45"/>
  </mergeCells>
  <phoneticPr fontId="1" type="noConversion"/>
  <hyperlinks>
    <hyperlink ref="A100:D100" r:id="rId1" display="© Олег Оксанич 2005г  www.allok.ru"/>
    <hyperlink ref="J44" r:id="rId2"/>
    <hyperlink ref="J46" r:id="rId3" tooltip="Замечания о программе"/>
  </hyperlinks>
  <pageMargins left="0.75" right="0.75" top="1" bottom="1" header="0.5" footer="0.5"/>
  <pageSetup paperSize="9" orientation="portrait" r:id="rId4"/>
  <headerFooter alignWithMargins="0"/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26"/>
  </sheetPr>
  <dimension ref="A1:S101"/>
  <sheetViews>
    <sheetView workbookViewId="0">
      <selection activeCell="E3" sqref="E3"/>
    </sheetView>
  </sheetViews>
  <sheetFormatPr defaultColWidth="8.33203125" defaultRowHeight="13.2"/>
  <cols>
    <col min="1" max="1" width="15.44140625" style="22" customWidth="1"/>
    <col min="2" max="2" width="8.109375" style="22" customWidth="1"/>
    <col min="3" max="3" width="6" style="22" customWidth="1"/>
    <col min="4" max="4" width="12.33203125" style="22" customWidth="1"/>
    <col min="5" max="5" width="20.88671875" style="22" customWidth="1"/>
    <col min="6" max="6" width="8.5546875" style="22" customWidth="1"/>
    <col min="7" max="7" width="8.33203125" style="22" customWidth="1"/>
    <col min="8" max="8" width="12" style="39" customWidth="1"/>
    <col min="9" max="9" width="9.33203125" style="22" bestFit="1" customWidth="1"/>
    <col min="10" max="12" width="8.33203125" style="22" customWidth="1"/>
    <col min="13" max="13" width="14" style="22" bestFit="1" customWidth="1"/>
    <col min="14" max="16" width="8.33203125" style="22" customWidth="1"/>
    <col min="17" max="17" width="14" style="22" bestFit="1" customWidth="1"/>
    <col min="18" max="16384" width="8.33203125" style="22"/>
  </cols>
  <sheetData>
    <row r="1" spans="1:19" ht="30" customHeight="1">
      <c r="A1" s="106" t="s">
        <v>11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9" ht="15.6">
      <c r="B2" s="23"/>
      <c r="C2" s="23"/>
      <c r="D2" s="23"/>
      <c r="E2" s="24">
        <f>Фармпрепараты!H94</f>
        <v>109304.50000000001</v>
      </c>
      <c r="G2" s="25"/>
      <c r="H2" s="26"/>
    </row>
    <row r="3" spans="1:19" ht="15.6">
      <c r="A3" s="27" t="s">
        <v>12</v>
      </c>
      <c r="B3" s="28" t="str">
        <f>SUBSTITUTE(B5,F9,F10,1)</f>
        <v>Сто девять тысяч триста четыре рубля 50 коп.</v>
      </c>
      <c r="E3" s="29"/>
      <c r="H3" s="30"/>
      <c r="I3" s="31"/>
      <c r="J3" s="30"/>
      <c r="K3" s="30"/>
      <c r="L3" s="30"/>
      <c r="M3" s="32" t="s">
        <v>13</v>
      </c>
      <c r="N3" s="107">
        <f ca="1">TODAY()</f>
        <v>42160</v>
      </c>
      <c r="O3" s="107"/>
      <c r="P3" s="31">
        <f ca="1">DAY(N3)</f>
        <v>5</v>
      </c>
      <c r="Q3" s="33" t="str">
        <f ca="1">IF(Q4&gt;7,S3,S4)</f>
        <v>июня</v>
      </c>
      <c r="R3" s="34">
        <f ca="1">YEAR(N3)</f>
        <v>2015</v>
      </c>
      <c r="S3" s="35" t="str">
        <f ca="1">IF(Q4=8,"августа",IF(Q4=9,"сентября",IF(Q4=10,"октября",IF(Q4=11,"ноября",IF(Q4=12,"декабря","не отсюда")))))</f>
        <v>не отсюда</v>
      </c>
    </row>
    <row r="4" spans="1:19">
      <c r="A4" s="27" t="s">
        <v>14</v>
      </c>
      <c r="B4" s="36" t="str">
        <f>SUBSTITUTE(B6,F9,F10,1)</f>
        <v>Сто девять тысяч триста четыре рубля 50 коп.</v>
      </c>
      <c r="H4" s="30"/>
      <c r="I4" s="30"/>
      <c r="J4" s="30"/>
      <c r="K4" s="108" t="str">
        <f ca="1">CONCATENATE(" «  ",P3,"  »  ",Q3,"  ",R3," г.")</f>
        <v xml:space="preserve"> «  5  »  июня  2015 г.</v>
      </c>
      <c r="L4" s="108"/>
      <c r="M4" s="108"/>
      <c r="N4" s="37"/>
      <c r="O4" s="37"/>
      <c r="P4" s="30"/>
      <c r="Q4" s="33">
        <f ca="1">MONTH(N3)</f>
        <v>6</v>
      </c>
      <c r="R4" s="30"/>
      <c r="S4" s="35" t="str">
        <f ca="1">IF(Q4=1,"января",IF(Q4=2,"февраля",IF(Q4=3,"марта",IF(Q4=4,"апреля",IF(Q4=5,"мая",IF(Q4=6,"июня",IF(Q4=7,"июля","брать не отсюда")))))))</f>
        <v>июня</v>
      </c>
    </row>
    <row r="5" spans="1:19">
      <c r="A5" s="38" t="s">
        <v>15</v>
      </c>
      <c r="B5" s="36" t="str">
        <f>CONCATENATE(A8,A9,A10,A11,A12)</f>
        <v>сто девять тысяч триста четыре рубля 50 коп.</v>
      </c>
    </row>
    <row r="6" spans="1:19" s="36" customFormat="1">
      <c r="A6" s="38" t="s">
        <v>16</v>
      </c>
      <c r="B6" s="36" t="str">
        <f>CONCATENATE(A8,A9,A10,A11,A12,B8,B9,C9)</f>
        <v>сто девять тысяч триста четыре рубля 50 коп.</v>
      </c>
      <c r="C6" s="22"/>
      <c r="D6" s="22"/>
      <c r="E6" s="22"/>
      <c r="H6" s="40"/>
    </row>
    <row r="7" spans="1:19">
      <c r="D7" s="39"/>
      <c r="H7" s="109" t="s">
        <v>17</v>
      </c>
      <c r="I7" s="109"/>
      <c r="J7" s="109"/>
    </row>
    <row r="8" spans="1:19" ht="12.75" customHeight="1">
      <c r="A8" s="41" t="str">
        <f>CONCATENATE(IF(B15=0,"",E15),IF(B16=0,"",IF(C17&lt;20,IF(C17&lt;16,IF(C17&lt;10,E16,D17),F17),E16)),IF(B17=0,"",IF(NOT(B16=1),E17,"")),F18)</f>
        <v/>
      </c>
      <c r="D8" s="39"/>
      <c r="F8" s="42">
        <f>CODE(B6)</f>
        <v>241</v>
      </c>
      <c r="G8" s="43"/>
      <c r="H8" s="109"/>
      <c r="I8" s="109"/>
      <c r="J8" s="109"/>
    </row>
    <row r="9" spans="1:19" ht="12.75" customHeight="1">
      <c r="A9" s="44" t="str">
        <f>CONCATENATE(IF(B19=0,"",E19),IF(B20=0,"",IF(C21&lt;20,IF(C21&lt;16,IF(C21&lt;10,E20,D21),F21),E20)),IF(B21=0,"",IF(NOT(B20=1),E21,"")),F22)</f>
        <v/>
      </c>
      <c r="B9" s="45"/>
      <c r="D9" s="46"/>
      <c r="F9" s="42" t="str">
        <f>CHAR(F8)</f>
        <v>с</v>
      </c>
      <c r="G9" s="43"/>
      <c r="H9" s="109"/>
      <c r="I9" s="109"/>
      <c r="J9" s="109"/>
      <c r="Q9" s="47"/>
    </row>
    <row r="10" spans="1:19" s="44" customFormat="1" ht="12.75" customHeight="1">
      <c r="A10" s="44" t="str">
        <f>CONCATENATE(IF(B23=0,"",E23),IF(B24=0,"",IF(C25&lt;20,IF(C25&lt;16,IF(C25&lt;10,E24,D25),F25),E24)),IF(B25=0,"",IF(NOT(B24=1),E25,"")),F26)</f>
        <v xml:space="preserve">сто девять тысяч </v>
      </c>
      <c r="D10" s="48"/>
      <c r="E10" s="49"/>
      <c r="F10" s="42" t="str">
        <f>PROPER(F9)</f>
        <v>С</v>
      </c>
      <c r="G10" s="43"/>
      <c r="H10" s="109"/>
      <c r="I10" s="109"/>
      <c r="J10" s="109"/>
    </row>
    <row r="11" spans="1:19" s="44" customFormat="1" ht="12.75" customHeight="1">
      <c r="A11" s="44" t="str">
        <f>CONCATENATE(IF(B27=0,"",E27),IF(B28=0,"",IF(C29&lt;20,IF(C29&lt;16,IF(C29&lt;10,E28,D29),F29),E28)),IF(B29=0,"",IF(NOT(B28=1),E29,"")),F30)</f>
        <v xml:space="preserve">триста четыре рубля </v>
      </c>
      <c r="D11" s="48"/>
      <c r="E11" s="49"/>
      <c r="H11" s="109"/>
      <c r="I11" s="109"/>
      <c r="J11" s="109"/>
    </row>
    <row r="12" spans="1:19" s="44" customFormat="1">
      <c r="A12" s="50" t="str">
        <f>CONCATENATE(IF(C31=0,"0",C31),IF(C32=0,"0",C32)," ",F33)</f>
        <v>50 коп.</v>
      </c>
      <c r="D12" s="48"/>
      <c r="E12" s="49"/>
      <c r="M12" s="51">
        <f ca="1">TODAY()</f>
        <v>42160</v>
      </c>
    </row>
    <row r="13" spans="1:19" s="44" customFormat="1">
      <c r="A13" s="50"/>
      <c r="D13" s="52"/>
      <c r="E13" s="53">
        <f>TRUNC(E2)</f>
        <v>109304</v>
      </c>
      <c r="F13" s="52" t="s">
        <v>18</v>
      </c>
      <c r="H13" s="48"/>
      <c r="M13" s="54"/>
    </row>
    <row r="14" spans="1:19" s="44" customFormat="1">
      <c r="A14" s="55">
        <f>TRUNC(A15/10)</f>
        <v>0</v>
      </c>
      <c r="B14" s="48"/>
      <c r="C14" s="52"/>
      <c r="H14" s="48"/>
    </row>
    <row r="15" spans="1:19" s="44" customFormat="1">
      <c r="A15" s="55">
        <f>TRUNC(A16/10)</f>
        <v>0</v>
      </c>
      <c r="B15" s="48">
        <f>TRUNC(RIGHT(A15))</f>
        <v>0</v>
      </c>
      <c r="C15" s="52">
        <f>B15</f>
        <v>0</v>
      </c>
      <c r="E15" s="56" t="str">
        <f>IF(B15=1,E43,IF(B15=2,G35,IF(B15=3,G36,IF(B15=4,G37,IF(B15=5,G38,IF(B15=6,G39,IF(B15=7,G40,IF(B15=8,G41,G42))))))))</f>
        <v xml:space="preserve">девятьсот </v>
      </c>
      <c r="H15" s="48"/>
    </row>
    <row r="16" spans="1:19" s="44" customFormat="1">
      <c r="A16" s="55">
        <f>TRUNC(A17/10)</f>
        <v>0</v>
      </c>
      <c r="B16" s="48">
        <f>TRUNC(RIGHT(A16))</f>
        <v>0</v>
      </c>
      <c r="C16" s="52">
        <f>IF(B16=1,"",B16)</f>
        <v>0</v>
      </c>
      <c r="E16" s="57" t="str">
        <f>IF(OR(C16=0,B16=1),"",IF(B16=2,E35,IF(B16=3,E36,IF(B16=4,E37,IF(B16=5,E38,IF(B16=6,E39,IF(B16=7,E40,IF(B16=8,E41,E42))))))))</f>
        <v/>
      </c>
      <c r="H16" s="48"/>
    </row>
    <row r="17" spans="1:9" s="44" customFormat="1">
      <c r="A17" s="55">
        <f>TRUNC(A19/10)</f>
        <v>0</v>
      </c>
      <c r="B17" s="48">
        <f>TRUNC(RIGHT(A17))</f>
        <v>0</v>
      </c>
      <c r="C17" s="52">
        <f>IF(B16=1,B17+10,IF(B17=0,0,B17))</f>
        <v>0</v>
      </c>
      <c r="D17" s="44" t="str">
        <f>IF(AND(C17&gt;9,C17&lt;16),IF(C17=10,D34,IF(C17=11,D35,IF(C17=12,D36,IF(C17=13,D37,IF(C17=14,D38,IF(C17=15,D39,)))))),"")</f>
        <v/>
      </c>
      <c r="E17" s="57" t="str">
        <f>IF(B17=1,A34,IF(B17=2,A35,IF(B17=3,A36,IF(B17=4,A37,IF(B17=5,A38,IF(B17=6,A39,IF(B17=7,A40,IF(B17=8,A41,A42))))))))</f>
        <v xml:space="preserve">девять </v>
      </c>
      <c r="F17" s="44" t="str">
        <f>IF(AND(C17&gt;15,C17&lt;20),IF(C17=16,D40,IF(C17=17,D41,IF(C17=18,D42,IF(C17=19,D43,)))),"")</f>
        <v/>
      </c>
      <c r="H17" s="48"/>
    </row>
    <row r="18" spans="1:9" s="44" customFormat="1">
      <c r="A18" s="55"/>
      <c r="B18" s="48"/>
      <c r="D18" s="48"/>
      <c r="E18" s="44">
        <f>B17+B16*10+B15*100</f>
        <v>0</v>
      </c>
      <c r="F18" s="44" t="str">
        <f>IF(E18=0,"",IF(B16=1,"миллиардов ",IF(B17=1,"милиард ",IF(OR(B17=2,B17=3,B17=4),"миллиарда ","милиардов "))))</f>
        <v/>
      </c>
      <c r="H18" s="48"/>
    </row>
    <row r="19" spans="1:9" s="44" customFormat="1">
      <c r="A19" s="55">
        <f>TRUNC(A20/10)</f>
        <v>0</v>
      </c>
      <c r="B19" s="48">
        <f>TRUNC(RIGHT(A19))</f>
        <v>0</v>
      </c>
      <c r="C19" s="52">
        <f>B19</f>
        <v>0</v>
      </c>
      <c r="E19" s="56" t="str">
        <f>IF(B19=1,E43,IF(B19=2,G35,IF(B19=3,G36,IF(B19=4,G37,IF(B19=5,G38,IF(B19=6,G39,IF(B19=7,G40,IF(B19=8,G41,G42))))))))</f>
        <v xml:space="preserve">девятьсот </v>
      </c>
      <c r="H19" s="48"/>
    </row>
    <row r="20" spans="1:9">
      <c r="A20" s="55">
        <f>TRUNC(A21/10)</f>
        <v>0</v>
      </c>
      <c r="B20" s="48">
        <f>TRUNC(RIGHT(A20))</f>
        <v>0</v>
      </c>
      <c r="C20" s="52">
        <f>IF(B20=1,"",B20)</f>
        <v>0</v>
      </c>
      <c r="D20" s="44"/>
      <c r="E20" s="57" t="str">
        <f>IF(OR(C20=0,B20=1),"",IF(B20=2,E35,IF(B20=3,E36,IF(B20=4,E37,IF(B20=5,E38,IF(B20=6,E39,IF(B20=7,E40,IF(B20=8,E41,E42))))))))</f>
        <v/>
      </c>
      <c r="F20" s="44"/>
    </row>
    <row r="21" spans="1:9" s="44" customFormat="1">
      <c r="A21" s="55">
        <f>TRUNC(A23/10)</f>
        <v>0</v>
      </c>
      <c r="B21" s="48">
        <f>TRUNC(RIGHT(A21))</f>
        <v>0</v>
      </c>
      <c r="C21" s="52">
        <f>IF(B20=1,B21+10,IF(B21=0,0,B21))</f>
        <v>0</v>
      </c>
      <c r="D21" s="44" t="str">
        <f>IF(AND(C21&gt;9,C21&lt;16),IF(C21=10,D34,IF(C21=11,D35,IF(C21=12,D36,IF(C21=13,D37,IF(C21=14,D38,IF(C21=15,D39,)))))),"")</f>
        <v/>
      </c>
      <c r="E21" s="57" t="str">
        <f>IF(B21=1,A34,IF(B21=2,A35,IF(B21=3,A36,IF(B21=4,A37,IF(B21=5,A38,IF(B21=6,A39,IF(B21=7,A40,IF(B21=8,A41,A42))))))))</f>
        <v xml:space="preserve">девять </v>
      </c>
      <c r="F21" s="44" t="str">
        <f>IF(AND(C21&gt;15,C21&lt;20),IF(C21=16,D40,IF(C21=17,D41,IF(C21=18,D42,IF(C21=19,D43,)))),"")</f>
        <v/>
      </c>
    </row>
    <row r="22" spans="1:9" s="44" customFormat="1">
      <c r="A22" s="55"/>
      <c r="B22" s="48"/>
      <c r="C22" s="52"/>
      <c r="E22" s="44">
        <f>B21+B20*10+B19*100</f>
        <v>0</v>
      </c>
      <c r="F22" s="44" t="str">
        <f>IF(E22=0,"",IF(B20=1,"миллионов ",IF(B21=1,"миллион ",IF(OR(B21=2,B21=3,B21=4),"миллиона ","миллионов "))))</f>
        <v/>
      </c>
    </row>
    <row r="23" spans="1:9" s="44" customFormat="1">
      <c r="A23" s="55">
        <f>TRUNC(A24/10)</f>
        <v>1</v>
      </c>
      <c r="B23" s="48">
        <f>TRUNC(RIGHT(A23))</f>
        <v>1</v>
      </c>
      <c r="C23" s="52">
        <f>B23</f>
        <v>1</v>
      </c>
      <c r="E23" s="56" t="str">
        <f>IF(B23=1,E43,IF(B23=2,G35,IF(B23=3,G36,IF(B23=4,G37,IF(B23=5,G38,IF(B23=6,G39,IF(B23=7,G40,IF(B23=8,G41,G42))))))))</f>
        <v xml:space="preserve">сто </v>
      </c>
      <c r="I23" s="51"/>
    </row>
    <row r="24" spans="1:9" s="44" customFormat="1">
      <c r="A24" s="55">
        <f>TRUNC(A25/10)</f>
        <v>10</v>
      </c>
      <c r="B24" s="48">
        <f>TRUNC(RIGHT(A24))</f>
        <v>0</v>
      </c>
      <c r="C24" s="52">
        <f>IF(B24=1,"",B24)</f>
        <v>0</v>
      </c>
      <c r="E24" s="57" t="str">
        <f>IF(OR(C24=0,B24=1),"",IF(B24=2,E35,IF(B24=3,E36,IF(B24=4,E37,IF(B24=5,E38,IF(B24=6,E39,IF(B24=7,E40,IF(B24=8,E41,E42))))))))</f>
        <v/>
      </c>
    </row>
    <row r="25" spans="1:9" s="44" customFormat="1">
      <c r="A25" s="55">
        <f>TRUNC(A27/10)</f>
        <v>109</v>
      </c>
      <c r="B25" s="48">
        <f>TRUNC(RIGHT(A25))</f>
        <v>9</v>
      </c>
      <c r="C25" s="52">
        <f>IF(B24=1,B25+10,IF(B25=0,0,B25))</f>
        <v>9</v>
      </c>
      <c r="D25" s="44" t="str">
        <f>IF(AND(C25&gt;9,C25&lt;16),IF(C25=10,D34,IF(C25=11,D35,IF(C25=12,D36,IF(C25=13,D37,IF(C25=14,D38,IF(C25=15,D39,)))))),"")</f>
        <v/>
      </c>
      <c r="E25" s="57" t="str">
        <f>IF(B25=1,B34,IF(B25=2,B35,IF(B25=3,A36,IF(B25=4,A37,IF(B25=5,A38,IF(B25=6,A39,IF(B25=7,A40,IF(B25=8,A41,A42))))))))</f>
        <v xml:space="preserve">девять </v>
      </c>
      <c r="F25" s="44" t="str">
        <f>IF(AND(C25&gt;15,C25&lt;20),IF(C25=16,D40,IF(C25=17,D41,IF(C25=18,D42,IF(C25=19,D43,)))),"")</f>
        <v/>
      </c>
    </row>
    <row r="26" spans="1:9" s="44" customFormat="1">
      <c r="A26" s="55"/>
      <c r="B26" s="48"/>
      <c r="C26" s="52"/>
      <c r="E26" s="58">
        <f>B23*100+B24*10+B25</f>
        <v>109</v>
      </c>
      <c r="F26" s="44" t="str">
        <f>IF(E26=0,"",IF(B24=1,"тысяч ",IF(B25=1,"тысяча ",IF(OR(B25=2,B25=3,B25=4),"тысячи ","тысяч "))))</f>
        <v xml:space="preserve">тысяч </v>
      </c>
    </row>
    <row r="27" spans="1:9" s="44" customFormat="1">
      <c r="A27" s="55">
        <f>TRUNC(A28/10)</f>
        <v>1093</v>
      </c>
      <c r="B27" s="48">
        <f>TRUNC(RIGHT(A27))</f>
        <v>3</v>
      </c>
      <c r="C27" s="52">
        <f>B27</f>
        <v>3</v>
      </c>
      <c r="E27" s="56" t="str">
        <f>IF(B27=1,E43,IF(B27=2,G35,IF(B27=3,G36,IF(B27=4,G37,IF(B27=5,G38,IF(B27=6,G39,IF(B27=7,G40,IF(B27=8,G41,G42))))))))</f>
        <v xml:space="preserve">триста </v>
      </c>
    </row>
    <row r="28" spans="1:9" s="44" customFormat="1">
      <c r="A28" s="55">
        <f>TRUNC(A29/10)</f>
        <v>10930</v>
      </c>
      <c r="B28" s="59">
        <f>TRUNC(RIGHT(A28))</f>
        <v>0</v>
      </c>
      <c r="C28" s="52">
        <f>IF(B28=1,"",B28)</f>
        <v>0</v>
      </c>
      <c r="E28" s="57" t="str">
        <f>IF(OR(C28=0,B28=1),"",IF(C28=2,E35,IF(C28=3,E36,IF(C28=4,E37,IF(C28=5,E38,IF(C28=6,E39,IF(C28=7,E40,IF(C28=8,E41,E42))))))))</f>
        <v/>
      </c>
      <c r="G28" s="48"/>
    </row>
    <row r="29" spans="1:9" s="44" customFormat="1">
      <c r="A29" s="55">
        <f>E13</f>
        <v>109304</v>
      </c>
      <c r="B29" s="48">
        <f>TRUNC(RIGHT(A29))</f>
        <v>4</v>
      </c>
      <c r="C29" s="52">
        <f>IF(B28=1,B29+10,IF(B29=0,0,B29))</f>
        <v>4</v>
      </c>
      <c r="D29" s="44" t="str">
        <f>IF(AND(C29&gt;9,C29&lt;16),IF(C29=10,D34,IF(C29=11,D35,IF(C29=12,D36,IF(C29=13,D37,IF(C29=14,D38,IF(C29=15,D39,)))))),"")</f>
        <v/>
      </c>
      <c r="E29" s="57" t="str">
        <f>IF(B29=1,A34,IF(B29=2,A35,IF(B29=3,A36,IF(B29=4,A37,IF(B29=5,A38,IF(B29=6,A39,IF(B29=7,A40,IF(B29=8,A41,A42))))))))</f>
        <v xml:space="preserve">четыре </v>
      </c>
      <c r="F29" s="44" t="str">
        <f>IF(AND(C29&gt;15,C29&lt;20),IF(C29=16,D40,IF(C29=17,D41,IF(C29=18,D42,IF(C29=19,D43,)))),"")</f>
        <v/>
      </c>
      <c r="G29" s="48"/>
    </row>
    <row r="30" spans="1:9" s="44" customFormat="1">
      <c r="A30" s="50"/>
      <c r="B30" s="59"/>
      <c r="C30" s="60"/>
      <c r="E30" s="58">
        <f>B27*100+B28*10+B29</f>
        <v>304</v>
      </c>
      <c r="F30" s="44" t="str">
        <f>IF(E30+E26+E22+E18=0,"ноль рублей ",IF(C29=1,"рубль ",IF(OR(C29=2,C29=3,C29=4),"рубля ","рублей ")))</f>
        <v xml:space="preserve">рубля </v>
      </c>
      <c r="G30" s="48"/>
    </row>
    <row r="31" spans="1:9" s="44" customFormat="1">
      <c r="A31" s="61">
        <f>ROUND(100*(E2-E13),0)</f>
        <v>50</v>
      </c>
      <c r="C31" s="60">
        <f>TRUNC(A31/10)</f>
        <v>5</v>
      </c>
      <c r="E31" s="57" t="str">
        <f>IF(OR(C31=1,C31=0),"",IF(C31=2,E35,IF(C31=3,E36,IF(C31=4,E37,IF(C31=5,E38,IF(C31=6,E39,IF(C31=7,E40,IF(C31=8,E41,E42))))))))</f>
        <v xml:space="preserve">пятьдесят </v>
      </c>
      <c r="H31" s="48"/>
    </row>
    <row r="32" spans="1:9" s="44" customFormat="1">
      <c r="C32" s="60">
        <f>TRUNC(A31-C31*10)</f>
        <v>0</v>
      </c>
      <c r="E32" s="57" t="str">
        <f>IF(C32=1,B34,IF(C32=2,B35,IF(C32=3,A36,IF(C32=4,A37,IF(C32=5,A38,IF(C32=6,A39,IF(C32=7,A40,IF(C32=8,A41,A42))))))))</f>
        <v xml:space="preserve">девять </v>
      </c>
      <c r="H32" s="48"/>
    </row>
    <row r="33" spans="1:11" s="44" customFormat="1">
      <c r="F33" s="44" t="s">
        <v>19</v>
      </c>
      <c r="H33" s="48"/>
    </row>
    <row r="34" spans="1:11" s="44" customFormat="1">
      <c r="A34" s="62" t="s">
        <v>20</v>
      </c>
      <c r="B34" s="62" t="s">
        <v>21</v>
      </c>
      <c r="C34" s="62"/>
      <c r="D34" s="62" t="s">
        <v>22</v>
      </c>
      <c r="H34" s="48"/>
    </row>
    <row r="35" spans="1:11" s="44" customFormat="1">
      <c r="A35" s="62" t="s">
        <v>23</v>
      </c>
      <c r="B35" s="62" t="s">
        <v>24</v>
      </c>
      <c r="C35" s="62"/>
      <c r="D35" s="62" t="s">
        <v>25</v>
      </c>
      <c r="E35" s="62" t="s">
        <v>26</v>
      </c>
      <c r="G35" s="62" t="s">
        <v>27</v>
      </c>
    </row>
    <row r="36" spans="1:11" s="44" customFormat="1">
      <c r="A36" s="62" t="s">
        <v>28</v>
      </c>
      <c r="B36" s="62"/>
      <c r="C36" s="62"/>
      <c r="D36" s="62" t="s">
        <v>29</v>
      </c>
      <c r="E36" s="62" t="s">
        <v>30</v>
      </c>
      <c r="G36" s="62" t="s">
        <v>31</v>
      </c>
    </row>
    <row r="37" spans="1:11" s="44" customFormat="1">
      <c r="A37" s="62" t="s">
        <v>32</v>
      </c>
      <c r="B37" s="62"/>
      <c r="C37" s="62"/>
      <c r="D37" s="62" t="s">
        <v>33</v>
      </c>
      <c r="E37" s="62" t="s">
        <v>34</v>
      </c>
      <c r="G37" s="62" t="s">
        <v>35</v>
      </c>
    </row>
    <row r="38" spans="1:11" s="44" customFormat="1">
      <c r="A38" s="62" t="s">
        <v>36</v>
      </c>
      <c r="B38" s="62"/>
      <c r="C38" s="62"/>
      <c r="D38" s="62" t="s">
        <v>37</v>
      </c>
      <c r="E38" s="62" t="s">
        <v>38</v>
      </c>
      <c r="G38" s="62" t="s">
        <v>39</v>
      </c>
    </row>
    <row r="39" spans="1:11" s="44" customFormat="1">
      <c r="A39" s="62" t="s">
        <v>40</v>
      </c>
      <c r="B39" s="62"/>
      <c r="C39" s="62"/>
      <c r="D39" s="62" t="s">
        <v>41</v>
      </c>
      <c r="E39" s="62" t="s">
        <v>42</v>
      </c>
      <c r="G39" s="62" t="s">
        <v>43</v>
      </c>
    </row>
    <row r="40" spans="1:11" s="44" customFormat="1">
      <c r="A40" s="62" t="s">
        <v>44</v>
      </c>
      <c r="B40" s="62"/>
      <c r="C40" s="62"/>
      <c r="D40" s="62" t="s">
        <v>45</v>
      </c>
      <c r="E40" s="62" t="s">
        <v>46</v>
      </c>
      <c r="G40" s="62" t="s">
        <v>47</v>
      </c>
    </row>
    <row r="41" spans="1:11" s="44" customFormat="1">
      <c r="A41" s="63" t="s">
        <v>48</v>
      </c>
      <c r="B41" s="62"/>
      <c r="C41" s="62"/>
      <c r="D41" s="62" t="s">
        <v>49</v>
      </c>
      <c r="E41" s="62" t="s">
        <v>50</v>
      </c>
      <c r="G41" s="62" t="s">
        <v>51</v>
      </c>
    </row>
    <row r="42" spans="1:11" s="44" customFormat="1">
      <c r="A42" s="62" t="s">
        <v>52</v>
      </c>
      <c r="B42" s="62"/>
      <c r="C42" s="62"/>
      <c r="D42" s="62" t="s">
        <v>53</v>
      </c>
      <c r="E42" s="62" t="s">
        <v>54</v>
      </c>
      <c r="G42" s="62" t="s">
        <v>55</v>
      </c>
    </row>
    <row r="43" spans="1:11" s="44" customFormat="1">
      <c r="B43" s="62"/>
      <c r="C43" s="62"/>
      <c r="D43" s="62" t="s">
        <v>56</v>
      </c>
      <c r="E43" s="62" t="s">
        <v>57</v>
      </c>
      <c r="H43" s="48"/>
    </row>
    <row r="44" spans="1:11" s="44" customFormat="1">
      <c r="A44" s="110" t="s">
        <v>58</v>
      </c>
      <c r="B44" s="110"/>
      <c r="C44" s="110"/>
      <c r="D44" s="110"/>
      <c r="E44" s="110"/>
      <c r="F44" s="110"/>
      <c r="G44" s="110"/>
      <c r="H44" s="110"/>
      <c r="I44" s="110"/>
      <c r="J44" s="105" t="s">
        <v>59</v>
      </c>
      <c r="K44" s="105"/>
    </row>
    <row r="45" spans="1:11" s="44" customFormat="1">
      <c r="A45" s="110"/>
      <c r="B45" s="110"/>
      <c r="C45" s="110"/>
      <c r="D45" s="110"/>
      <c r="E45" s="110"/>
      <c r="F45" s="110"/>
      <c r="G45" s="110"/>
      <c r="H45" s="110"/>
      <c r="I45" s="110"/>
      <c r="J45" s="105"/>
      <c r="K45" s="105"/>
    </row>
    <row r="46" spans="1:11" s="44" customFormat="1">
      <c r="B46" s="62"/>
      <c r="C46" s="62"/>
      <c r="G46" s="104" t="s">
        <v>60</v>
      </c>
      <c r="H46" s="104"/>
      <c r="I46" s="104"/>
      <c r="J46" s="64" t="s">
        <v>61</v>
      </c>
    </row>
    <row r="47" spans="1:11" s="44" customFormat="1">
      <c r="B47" s="62"/>
      <c r="C47" s="62"/>
      <c r="H47" s="48"/>
    </row>
    <row r="48" spans="1:11" s="44" customFormat="1">
      <c r="B48" s="62"/>
      <c r="C48" s="62"/>
      <c r="H48" s="48"/>
    </row>
    <row r="49" spans="2:8" s="44" customFormat="1">
      <c r="B49" s="62"/>
      <c r="C49" s="62"/>
      <c r="H49" s="48"/>
    </row>
    <row r="50" spans="2:8" s="44" customFormat="1">
      <c r="B50" s="62"/>
      <c r="C50" s="62"/>
      <c r="H50" s="48"/>
    </row>
    <row r="51" spans="2:8" s="44" customFormat="1">
      <c r="B51" s="62"/>
      <c r="C51" s="62"/>
      <c r="H51" s="48"/>
    </row>
    <row r="52" spans="2:8" s="44" customFormat="1">
      <c r="B52" s="62"/>
      <c r="C52" s="62"/>
      <c r="H52" s="48"/>
    </row>
    <row r="100" spans="1:4">
      <c r="A100" s="105" t="s">
        <v>62</v>
      </c>
      <c r="B100" s="105"/>
      <c r="C100" s="105"/>
      <c r="D100" s="105"/>
    </row>
    <row r="101" spans="1:4">
      <c r="A101" s="22" t="s">
        <v>63</v>
      </c>
    </row>
  </sheetData>
  <mergeCells count="8">
    <mergeCell ref="G46:I46"/>
    <mergeCell ref="A100:D100"/>
    <mergeCell ref="A1:N1"/>
    <mergeCell ref="N3:O3"/>
    <mergeCell ref="K4:M4"/>
    <mergeCell ref="H7:J11"/>
    <mergeCell ref="A44:I45"/>
    <mergeCell ref="J44:K45"/>
  </mergeCells>
  <phoneticPr fontId="1" type="noConversion"/>
  <hyperlinks>
    <hyperlink ref="A100:D100" r:id="rId1" display="© Олег Оксанич 2005г  www.allok.ru"/>
    <hyperlink ref="J44" r:id="rId2"/>
    <hyperlink ref="J46" r:id="rId3" tooltip="Замечания о программе"/>
  </hyperlinks>
  <pageMargins left="0.75" right="0.75" top="1" bottom="1" header="0.5" footer="0.5"/>
  <pageSetup paperSize="9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Фармпрепараты</vt:lpstr>
      <vt:lpstr>Формула числа прописью (с НДС)</vt:lpstr>
      <vt:lpstr>Формула числа прописью (НДС)</vt:lpstr>
      <vt:lpstr>Фармпрепараты!Заголовки_для_печати</vt:lpstr>
      <vt:lpstr>Фармпрепараты!Область_печати</vt:lpstr>
      <vt:lpstr>'Формула числа прописью (НДС)'!Сегодня</vt:lpstr>
      <vt:lpstr>Сегодня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</dc:creator>
  <cp:lastModifiedBy>Гончарова Галина Гениевна</cp:lastModifiedBy>
  <cp:lastPrinted>2015-05-13T07:43:35Z</cp:lastPrinted>
  <dcterms:created xsi:type="dcterms:W3CDTF">2007-07-02T10:16:52Z</dcterms:created>
  <dcterms:modified xsi:type="dcterms:W3CDTF">2015-06-05T12:40:13Z</dcterms:modified>
</cp:coreProperties>
</file>