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92" yWindow="0" windowWidth="9600" windowHeight="12708" tabRatio="646"/>
  </bookViews>
  <sheets>
    <sheet name="детали" sheetId="3" r:id="rId1"/>
    <sheet name="Формула числа прописью (с НДС)" sheetId="4" r:id="rId2"/>
    <sheet name="Формула числа прописью (НДС)" sheetId="5" r:id="rId3"/>
  </sheets>
  <definedNames>
    <definedName name="_xlnm._FilterDatabase" localSheetId="0" hidden="1">детали!$A$6:$K$120</definedName>
    <definedName name="_xlnm.Print_Titles" localSheetId="0">детали!$6:$6</definedName>
    <definedName name="_xlnm.Print_Area" localSheetId="0">детали!$A$2:$J$132</definedName>
    <definedName name="Сегодня" localSheetId="2">'Формула числа прописью (НДС)'!$K$4</definedName>
    <definedName name="Сегодня">'Формула числа прописью (с НДС)'!$K$4</definedName>
  </definedNames>
  <calcPr calcId="145621"/>
</workbook>
</file>

<file path=xl/calcChain.xml><?xml version="1.0" encoding="utf-8"?>
<calcChain xmlns="http://schemas.openxmlformats.org/spreadsheetml/2006/main">
  <c r="H20" i="3" l="1"/>
  <c r="E9" i="3" l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8" i="3"/>
  <c r="G9" i="3"/>
  <c r="I9" i="3" s="1"/>
  <c r="H9" i="3" s="1"/>
  <c r="G10" i="3"/>
  <c r="I10" i="3"/>
  <c r="H10" i="3" s="1"/>
  <c r="G11" i="3"/>
  <c r="I11" i="3"/>
  <c r="H11" i="3" s="1"/>
  <c r="G12" i="3"/>
  <c r="I12" i="3"/>
  <c r="H12" i="3" s="1"/>
  <c r="G13" i="3"/>
  <c r="I13" i="3" s="1"/>
  <c r="H13" i="3" s="1"/>
  <c r="G14" i="3"/>
  <c r="I14" i="3" s="1"/>
  <c r="H14" i="3" s="1"/>
  <c r="G15" i="3"/>
  <c r="I15" i="3"/>
  <c r="H15" i="3" s="1"/>
  <c r="G16" i="3"/>
  <c r="I16" i="3" s="1"/>
  <c r="H16" i="3" s="1"/>
  <c r="G17" i="3"/>
  <c r="I17" i="3" s="1"/>
  <c r="H17" i="3" s="1"/>
  <c r="G18" i="3"/>
  <c r="I18" i="3" s="1"/>
  <c r="H18" i="3" s="1"/>
  <c r="G19" i="3"/>
  <c r="I19" i="3" s="1"/>
  <c r="H19" i="3" s="1"/>
  <c r="G20" i="3"/>
  <c r="I20" i="3"/>
  <c r="G21" i="3"/>
  <c r="I21" i="3" s="1"/>
  <c r="H21" i="3" s="1"/>
  <c r="G22" i="3"/>
  <c r="I22" i="3" s="1"/>
  <c r="H22" i="3" s="1"/>
  <c r="G23" i="3"/>
  <c r="I23" i="3" s="1"/>
  <c r="H23" i="3" s="1"/>
  <c r="G24" i="3"/>
  <c r="I24" i="3"/>
  <c r="H24" i="3" s="1"/>
  <c r="G25" i="3"/>
  <c r="I25" i="3" s="1"/>
  <c r="H25" i="3" s="1"/>
  <c r="G26" i="3"/>
  <c r="I26" i="3" s="1"/>
  <c r="H26" i="3" s="1"/>
  <c r="G27" i="3"/>
  <c r="I27" i="3"/>
  <c r="H27" i="3" s="1"/>
  <c r="G28" i="3"/>
  <c r="H28" i="3"/>
  <c r="I28" i="3"/>
  <c r="G29" i="3"/>
  <c r="I29" i="3" s="1"/>
  <c r="H29" i="3" s="1"/>
  <c r="G30" i="3"/>
  <c r="I30" i="3" s="1"/>
  <c r="H30" i="3" s="1"/>
  <c r="G31" i="3"/>
  <c r="I31" i="3" s="1"/>
  <c r="H31" i="3" s="1"/>
  <c r="G32" i="3"/>
  <c r="H32" i="3"/>
  <c r="I32" i="3"/>
  <c r="G33" i="3"/>
  <c r="I33" i="3" s="1"/>
  <c r="H33" i="3" s="1"/>
  <c r="G34" i="3"/>
  <c r="I34" i="3"/>
  <c r="H34" i="3" s="1"/>
  <c r="G35" i="3"/>
  <c r="I35" i="3"/>
  <c r="H35" i="3" s="1"/>
  <c r="G36" i="3"/>
  <c r="I36" i="3" s="1"/>
  <c r="H36" i="3" s="1"/>
  <c r="G37" i="3"/>
  <c r="I37" i="3" s="1"/>
  <c r="H37" i="3" s="1"/>
  <c r="G38" i="3"/>
  <c r="I38" i="3" s="1"/>
  <c r="H38" i="3" s="1"/>
  <c r="G39" i="3"/>
  <c r="I39" i="3" s="1"/>
  <c r="H39" i="3" s="1"/>
  <c r="G40" i="3"/>
  <c r="I40" i="3"/>
  <c r="H40" i="3" s="1"/>
  <c r="G41" i="3"/>
  <c r="I41" i="3" s="1"/>
  <c r="H41" i="3" s="1"/>
  <c r="G42" i="3"/>
  <c r="I42" i="3"/>
  <c r="H42" i="3" s="1"/>
  <c r="G43" i="3"/>
  <c r="I43" i="3" s="1"/>
  <c r="H43" i="3" s="1"/>
  <c r="G44" i="3"/>
  <c r="H44" i="3"/>
  <c r="I44" i="3"/>
  <c r="G45" i="3"/>
  <c r="I45" i="3" s="1"/>
  <c r="H45" i="3" s="1"/>
  <c r="G46" i="3"/>
  <c r="I46" i="3"/>
  <c r="H46" i="3" s="1"/>
  <c r="G47" i="3"/>
  <c r="I47" i="3" s="1"/>
  <c r="H47" i="3" s="1"/>
  <c r="G48" i="3"/>
  <c r="I48" i="3"/>
  <c r="H48" i="3" s="1"/>
  <c r="G49" i="3"/>
  <c r="I49" i="3" s="1"/>
  <c r="H49" i="3" s="1"/>
  <c r="G50" i="3"/>
  <c r="I50" i="3" s="1"/>
  <c r="H50" i="3" s="1"/>
  <c r="G51" i="3"/>
  <c r="I51" i="3" s="1"/>
  <c r="H51" i="3" s="1"/>
  <c r="G52" i="3"/>
  <c r="I52" i="3" s="1"/>
  <c r="H52" i="3" s="1"/>
  <c r="G53" i="3"/>
  <c r="I53" i="3" s="1"/>
  <c r="H53" i="3" s="1"/>
  <c r="G54" i="3"/>
  <c r="I54" i="3" s="1"/>
  <c r="H54" i="3" s="1"/>
  <c r="G55" i="3"/>
  <c r="I55" i="3" s="1"/>
  <c r="H55" i="3" s="1"/>
  <c r="G56" i="3"/>
  <c r="I56" i="3"/>
  <c r="H56" i="3" s="1"/>
  <c r="G57" i="3"/>
  <c r="I57" i="3" s="1"/>
  <c r="H57" i="3" s="1"/>
  <c r="G58" i="3"/>
  <c r="I58" i="3" s="1"/>
  <c r="H58" i="3" s="1"/>
  <c r="G59" i="3"/>
  <c r="I59" i="3" s="1"/>
  <c r="H59" i="3" s="1"/>
  <c r="G60" i="3"/>
  <c r="H60" i="3"/>
  <c r="I60" i="3"/>
  <c r="G61" i="3"/>
  <c r="I61" i="3" s="1"/>
  <c r="H61" i="3" s="1"/>
  <c r="G62" i="3"/>
  <c r="I62" i="3" s="1"/>
  <c r="H62" i="3" s="1"/>
  <c r="G63" i="3"/>
  <c r="I63" i="3"/>
  <c r="H63" i="3" s="1"/>
  <c r="G64" i="3"/>
  <c r="I64" i="3"/>
  <c r="H64" i="3" s="1"/>
  <c r="G65" i="3"/>
  <c r="I65" i="3" s="1"/>
  <c r="H65" i="3" s="1"/>
  <c r="G66" i="3"/>
  <c r="I66" i="3" s="1"/>
  <c r="H66" i="3" s="1"/>
  <c r="G67" i="3"/>
  <c r="I67" i="3" s="1"/>
  <c r="H67" i="3" s="1"/>
  <c r="G68" i="3"/>
  <c r="I68" i="3"/>
  <c r="H68" i="3" s="1"/>
  <c r="G69" i="3"/>
  <c r="I69" i="3" s="1"/>
  <c r="H69" i="3" s="1"/>
  <c r="G70" i="3"/>
  <c r="I70" i="3" s="1"/>
  <c r="H70" i="3" s="1"/>
  <c r="G71" i="3"/>
  <c r="I71" i="3" s="1"/>
  <c r="H71" i="3" s="1"/>
  <c r="G72" i="3"/>
  <c r="I72" i="3"/>
  <c r="H72" i="3" s="1"/>
  <c r="G73" i="3"/>
  <c r="I73" i="3" s="1"/>
  <c r="H73" i="3" s="1"/>
  <c r="G74" i="3"/>
  <c r="I74" i="3"/>
  <c r="H74" i="3" s="1"/>
  <c r="G75" i="3"/>
  <c r="I75" i="3" s="1"/>
  <c r="H75" i="3" s="1"/>
  <c r="G76" i="3"/>
  <c r="I76" i="3"/>
  <c r="H76" i="3" s="1"/>
  <c r="G77" i="3"/>
  <c r="I77" i="3" s="1"/>
  <c r="H77" i="3" s="1"/>
  <c r="G78" i="3"/>
  <c r="I78" i="3" s="1"/>
  <c r="H78" i="3" s="1"/>
  <c r="G79" i="3"/>
  <c r="I79" i="3" s="1"/>
  <c r="H79" i="3" s="1"/>
  <c r="G80" i="3"/>
  <c r="I80" i="3"/>
  <c r="H80" i="3" s="1"/>
  <c r="G81" i="3"/>
  <c r="I81" i="3" s="1"/>
  <c r="H81" i="3" s="1"/>
  <c r="G82" i="3"/>
  <c r="I82" i="3" s="1"/>
  <c r="H82" i="3" s="1"/>
  <c r="G83" i="3"/>
  <c r="I83" i="3" s="1"/>
  <c r="H83" i="3" s="1"/>
  <c r="G84" i="3"/>
  <c r="I84" i="3"/>
  <c r="H84" i="3" s="1"/>
  <c r="G85" i="3"/>
  <c r="I85" i="3" s="1"/>
  <c r="H85" i="3" s="1"/>
  <c r="G86" i="3"/>
  <c r="I86" i="3" s="1"/>
  <c r="H86" i="3" s="1"/>
  <c r="G87" i="3"/>
  <c r="I87" i="3" s="1"/>
  <c r="H87" i="3" s="1"/>
  <c r="G88" i="3"/>
  <c r="H88" i="3"/>
  <c r="I88" i="3"/>
  <c r="G89" i="3"/>
  <c r="I89" i="3" s="1"/>
  <c r="H89" i="3" s="1"/>
  <c r="G90" i="3"/>
  <c r="I90" i="3" s="1"/>
  <c r="H90" i="3" s="1"/>
  <c r="G91" i="3"/>
  <c r="I91" i="3" s="1"/>
  <c r="H91" i="3" s="1"/>
  <c r="G92" i="3"/>
  <c r="I92" i="3" s="1"/>
  <c r="H92" i="3" s="1"/>
  <c r="G93" i="3"/>
  <c r="I93" i="3" s="1"/>
  <c r="H93" i="3" s="1"/>
  <c r="G94" i="3"/>
  <c r="I94" i="3" s="1"/>
  <c r="H94" i="3" s="1"/>
  <c r="G95" i="3"/>
  <c r="I95" i="3" s="1"/>
  <c r="H95" i="3" s="1"/>
  <c r="G96" i="3"/>
  <c r="I96" i="3"/>
  <c r="H96" i="3" s="1"/>
  <c r="G97" i="3"/>
  <c r="I97" i="3" s="1"/>
  <c r="H97" i="3" s="1"/>
  <c r="G98" i="3"/>
  <c r="I98" i="3" s="1"/>
  <c r="H98" i="3" s="1"/>
  <c r="G99" i="3"/>
  <c r="I99" i="3"/>
  <c r="H99" i="3" s="1"/>
  <c r="G100" i="3"/>
  <c r="H100" i="3"/>
  <c r="I100" i="3"/>
  <c r="G101" i="3"/>
  <c r="I101" i="3" s="1"/>
  <c r="H101" i="3" s="1"/>
  <c r="G102" i="3"/>
  <c r="I102" i="3"/>
  <c r="H102" i="3" s="1"/>
  <c r="G103" i="3"/>
  <c r="I103" i="3" s="1"/>
  <c r="H103" i="3" s="1"/>
  <c r="G104" i="3"/>
  <c r="I104" i="3"/>
  <c r="H104" i="3" s="1"/>
  <c r="G105" i="3"/>
  <c r="I105" i="3" s="1"/>
  <c r="H105" i="3" s="1"/>
  <c r="G106" i="3"/>
  <c r="I106" i="3" s="1"/>
  <c r="H106" i="3" s="1"/>
  <c r="G107" i="3"/>
  <c r="I107" i="3" s="1"/>
  <c r="H107" i="3" s="1"/>
  <c r="G108" i="3"/>
  <c r="I108" i="3"/>
  <c r="H108" i="3" s="1"/>
  <c r="G109" i="3"/>
  <c r="I109" i="3" s="1"/>
  <c r="H109" i="3" s="1"/>
  <c r="G110" i="3"/>
  <c r="I110" i="3" s="1"/>
  <c r="H110" i="3" s="1"/>
  <c r="G111" i="3"/>
  <c r="I111" i="3" s="1"/>
  <c r="H111" i="3" s="1"/>
  <c r="G112" i="3"/>
  <c r="I112" i="3" s="1"/>
  <c r="H112" i="3" s="1"/>
  <c r="G113" i="3"/>
  <c r="I113" i="3" s="1"/>
  <c r="H113" i="3" s="1"/>
  <c r="G114" i="3"/>
  <c r="I114" i="3" s="1"/>
  <c r="H114" i="3" s="1"/>
  <c r="G115" i="3"/>
  <c r="I115" i="3" s="1"/>
  <c r="H115" i="3" s="1"/>
  <c r="G116" i="3"/>
  <c r="I116" i="3" s="1"/>
  <c r="H116" i="3" s="1"/>
  <c r="G117" i="3"/>
  <c r="I117" i="3" s="1"/>
  <c r="H117" i="3" s="1"/>
  <c r="G118" i="3"/>
  <c r="I118" i="3" s="1"/>
  <c r="H118" i="3" s="1"/>
  <c r="G119" i="3"/>
  <c r="I119" i="3" s="1"/>
  <c r="H119" i="3" s="1"/>
  <c r="G8" i="3"/>
  <c r="I8" i="3" s="1"/>
  <c r="H8" i="3" s="1"/>
  <c r="G120" i="3" l="1"/>
  <c r="I120" i="3" l="1"/>
  <c r="M12" i="5" l="1"/>
  <c r="N3" i="5"/>
  <c r="Q4" i="5" s="1"/>
  <c r="M12" i="4"/>
  <c r="N3" i="4"/>
  <c r="S4" i="5" l="1"/>
  <c r="S3" i="5"/>
  <c r="R3" i="5"/>
  <c r="P3" i="5"/>
  <c r="Q4" i="4"/>
  <c r="S3" i="4" s="1"/>
  <c r="R3" i="4"/>
  <c r="P3" i="4"/>
  <c r="Q3" i="5" l="1"/>
  <c r="K4" i="5" s="1"/>
  <c r="S4" i="4"/>
  <c r="Q3" i="4" s="1"/>
  <c r="K4" i="4" s="1"/>
  <c r="H120" i="3"/>
  <c r="E2" i="5" l="1"/>
  <c r="E13" i="5" s="1"/>
  <c r="A29" i="5" s="1"/>
  <c r="E2" i="4"/>
  <c r="A31" i="5" l="1"/>
  <c r="B29" i="5"/>
  <c r="E29" i="5" s="1"/>
  <c r="A28" i="5"/>
  <c r="E13" i="4"/>
  <c r="A29" i="4" s="1"/>
  <c r="A31" i="4" l="1"/>
  <c r="C31" i="4" s="1"/>
  <c r="C32" i="4" s="1"/>
  <c r="E32" i="4" s="1"/>
  <c r="B29" i="4"/>
  <c r="E29" i="4" s="1"/>
  <c r="A28" i="4"/>
  <c r="A27" i="5"/>
  <c r="B28" i="5"/>
  <c r="C31" i="5"/>
  <c r="E31" i="5" l="1"/>
  <c r="A25" i="5"/>
  <c r="B27" i="5"/>
  <c r="C32" i="5"/>
  <c r="E32" i="5" s="1"/>
  <c r="C28" i="5"/>
  <c r="E28" i="5" s="1"/>
  <c r="C29" i="5"/>
  <c r="A27" i="4"/>
  <c r="B28" i="4"/>
  <c r="E31" i="4"/>
  <c r="A12" i="4"/>
  <c r="E27" i="5" l="1"/>
  <c r="C27" i="5"/>
  <c r="E30" i="5"/>
  <c r="B27" i="4"/>
  <c r="A25" i="4"/>
  <c r="C28" i="4"/>
  <c r="E28" i="4" s="1"/>
  <c r="C29" i="4"/>
  <c r="D29" i="5"/>
  <c r="F29" i="5"/>
  <c r="B25" i="5"/>
  <c r="E25" i="5" s="1"/>
  <c r="A24" i="5"/>
  <c r="A12" i="5"/>
  <c r="A23" i="5" l="1"/>
  <c r="B24" i="5"/>
  <c r="D29" i="4"/>
  <c r="F29" i="4"/>
  <c r="B25" i="4"/>
  <c r="E25" i="4" s="1"/>
  <c r="A24" i="4"/>
  <c r="E30" i="4"/>
  <c r="E27" i="4"/>
  <c r="C27" i="4"/>
  <c r="B24" i="4" l="1"/>
  <c r="A23" i="4"/>
  <c r="C24" i="5"/>
  <c r="E24" i="5" s="1"/>
  <c r="C25" i="5"/>
  <c r="B23" i="5"/>
  <c r="A21" i="5"/>
  <c r="A20" i="5" l="1"/>
  <c r="B21" i="5"/>
  <c r="F25" i="5"/>
  <c r="D25" i="5"/>
  <c r="B23" i="4"/>
  <c r="A21" i="4"/>
  <c r="C23" i="5"/>
  <c r="E26" i="5"/>
  <c r="E23" i="5"/>
  <c r="C24" i="4"/>
  <c r="E24" i="4" s="1"/>
  <c r="C25" i="4"/>
  <c r="D25" i="4" l="1"/>
  <c r="F25" i="4"/>
  <c r="F26" i="5"/>
  <c r="A10" i="5" s="1"/>
  <c r="B21" i="4"/>
  <c r="A20" i="4"/>
  <c r="E21" i="5"/>
  <c r="E23" i="4"/>
  <c r="C23" i="4"/>
  <c r="E26" i="4"/>
  <c r="A19" i="5"/>
  <c r="B20" i="5"/>
  <c r="C21" i="5" l="1"/>
  <c r="C20" i="5"/>
  <c r="E20" i="5" s="1"/>
  <c r="F26" i="4"/>
  <c r="A10" i="4" s="1"/>
  <c r="A19" i="4"/>
  <c r="B20" i="4"/>
  <c r="B19" i="5"/>
  <c r="A17" i="5"/>
  <c r="E21" i="4"/>
  <c r="E19" i="5" l="1"/>
  <c r="C19" i="5"/>
  <c r="A17" i="4"/>
  <c r="B19" i="4"/>
  <c r="A16" i="5"/>
  <c r="B17" i="5"/>
  <c r="C21" i="4"/>
  <c r="C20" i="4"/>
  <c r="E20" i="4" s="1"/>
  <c r="E22" i="5"/>
  <c r="F21" i="5"/>
  <c r="D21" i="5"/>
  <c r="F22" i="5" l="1"/>
  <c r="A9" i="5" s="1"/>
  <c r="D21" i="4"/>
  <c r="F21" i="4"/>
  <c r="B16" i="5"/>
  <c r="A15" i="5"/>
  <c r="B17" i="4"/>
  <c r="A16" i="4"/>
  <c r="E17" i="5"/>
  <c r="C19" i="4"/>
  <c r="E19" i="4"/>
  <c r="E22" i="4"/>
  <c r="F22" i="4" l="1"/>
  <c r="A9" i="4" s="1"/>
  <c r="B16" i="4"/>
  <c r="A15" i="4"/>
  <c r="B15" i="5"/>
  <c r="A14" i="5"/>
  <c r="E17" i="4"/>
  <c r="C16" i="5"/>
  <c r="E16" i="5" s="1"/>
  <c r="C17" i="5"/>
  <c r="D17" i="5" l="1"/>
  <c r="F17" i="5"/>
  <c r="A14" i="4"/>
  <c r="B15" i="4"/>
  <c r="E15" i="5"/>
  <c r="C15" i="5"/>
  <c r="E18" i="5"/>
  <c r="C17" i="4"/>
  <c r="C16" i="4"/>
  <c r="E16" i="4" s="1"/>
  <c r="D17" i="4" l="1"/>
  <c r="F17" i="4"/>
  <c r="F18" i="5"/>
  <c r="A8" i="5" s="1"/>
  <c r="F30" i="5"/>
  <c r="A11" i="5" s="1"/>
  <c r="E15" i="4"/>
  <c r="C15" i="4"/>
  <c r="E18" i="4"/>
  <c r="B5" i="5" l="1"/>
  <c r="B6" i="5"/>
  <c r="F18" i="4"/>
  <c r="A8" i="4" s="1"/>
  <c r="F30" i="4"/>
  <c r="A11" i="4" s="1"/>
  <c r="F8" i="5" l="1"/>
  <c r="F9" i="5" s="1"/>
  <c r="F10" i="5" s="1"/>
  <c r="B6" i="4"/>
  <c r="B5" i="4"/>
  <c r="B3" i="5" l="1"/>
  <c r="F8" i="4"/>
  <c r="F9" i="4" s="1"/>
  <c r="F10" i="4" s="1"/>
  <c r="B4" i="5"/>
  <c r="B4" i="4" l="1"/>
  <c r="A124" i="3" s="1"/>
  <c r="B3" i="4"/>
</calcChain>
</file>

<file path=xl/comments1.xml><?xml version="1.0" encoding="utf-8"?>
<comments xmlns="http://schemas.openxmlformats.org/spreadsheetml/2006/main">
  <authors>
    <author>Ok</author>
  </authors>
  <commentList>
    <comment ref="E2" authorId="0">
      <text>
        <r>
          <rPr>
            <b/>
            <sz val="8"/>
            <color indexed="81"/>
            <rFont val="Tahoma"/>
            <family val="2"/>
            <charset val="204"/>
          </rPr>
          <t>Ok:</t>
        </r>
        <r>
          <rPr>
            <sz val="8"/>
            <color indexed="81"/>
            <rFont val="Tahoma"/>
            <family val="2"/>
            <charset val="204"/>
          </rPr>
          <t xml:space="preserve">
Здесь надо вставить ссылку на первый лист, откуда берётся число для прописи. В данном примере это 'счёт-факт' ячейка I31 - "Итого"</t>
        </r>
      </text>
    </comment>
  </commentList>
</comments>
</file>

<file path=xl/comments2.xml><?xml version="1.0" encoding="utf-8"?>
<comments xmlns="http://schemas.openxmlformats.org/spreadsheetml/2006/main">
  <authors>
    <author>Ok</author>
  </authors>
  <commentList>
    <comment ref="E2" authorId="0">
      <text>
        <r>
          <rPr>
            <b/>
            <sz val="8"/>
            <color indexed="81"/>
            <rFont val="Tahoma"/>
            <family val="2"/>
            <charset val="204"/>
          </rPr>
          <t>Ok:</t>
        </r>
        <r>
          <rPr>
            <sz val="8"/>
            <color indexed="81"/>
            <rFont val="Tahoma"/>
            <family val="2"/>
            <charset val="204"/>
          </rPr>
          <t xml:space="preserve">
Здесь надо вставить ссылку на первый лист, откуда берётся число для прописи. В данном примере это 'счёт-факт' ячейка I31 - "Итого"</t>
        </r>
      </text>
    </comment>
  </commentList>
</comments>
</file>

<file path=xl/sharedStrings.xml><?xml version="1.0" encoding="utf-8"?>
<sst xmlns="http://schemas.openxmlformats.org/spreadsheetml/2006/main" count="469" uniqueCount="281">
  <si>
    <t>№</t>
  </si>
  <si>
    <t>Кол-во</t>
  </si>
  <si>
    <t>ВСЕГО:</t>
  </si>
  <si>
    <t>Цена без НДС, руб с транспортными расходами</t>
  </si>
  <si>
    <t>Стоимость без НДС, руб.  с транспортными расходами</t>
  </si>
  <si>
    <t>Сумма НДС, руб.  с транспортными расходами</t>
  </si>
  <si>
    <t>Стоимость с НДС,  руб.  с транспортными расходами</t>
  </si>
  <si>
    <t>Цена без НДС, руб. без учета транспортных расходов</t>
  </si>
  <si>
    <t xml:space="preserve">Спецификация </t>
  </si>
  <si>
    <t>Ед. изм</t>
  </si>
  <si>
    <t>1</t>
  </si>
  <si>
    <t>В ячейке Е2 должна быть ссылка на исходное число</t>
  </si>
  <si>
    <t>Заглавная без НДС</t>
  </si>
  <si>
    <t xml:space="preserve">Сегодня с утра судя по всему было </t>
  </si>
  <si>
    <t>Заглавная с НДС</t>
  </si>
  <si>
    <t>маленькая без НДС</t>
  </si>
  <si>
    <t>маленькая с НДС</t>
  </si>
  <si>
    <t>Для справки - смотрите примечания к ячейкам E4 B8 B9 этого листа и H2 и C34 предыдущего.</t>
  </si>
  <si>
    <t>рублей</t>
  </si>
  <si>
    <t>коп.</t>
  </si>
  <si>
    <t xml:space="preserve">один </t>
  </si>
  <si>
    <t xml:space="preserve">одна </t>
  </si>
  <si>
    <t xml:space="preserve">десять </t>
  </si>
  <si>
    <t xml:space="preserve">два </t>
  </si>
  <si>
    <t xml:space="preserve">две </t>
  </si>
  <si>
    <t xml:space="preserve">одиннадцать </t>
  </si>
  <si>
    <t xml:space="preserve">двадцать </t>
  </si>
  <si>
    <t xml:space="preserve">двести </t>
  </si>
  <si>
    <t xml:space="preserve">три </t>
  </si>
  <si>
    <t xml:space="preserve">двенадцать </t>
  </si>
  <si>
    <t xml:space="preserve">тридцать </t>
  </si>
  <si>
    <t xml:space="preserve">триста </t>
  </si>
  <si>
    <t xml:space="preserve">четыре </t>
  </si>
  <si>
    <t xml:space="preserve">тринадцать </t>
  </si>
  <si>
    <t xml:space="preserve">сорок </t>
  </si>
  <si>
    <t xml:space="preserve">четыреста </t>
  </si>
  <si>
    <t xml:space="preserve">пять </t>
  </si>
  <si>
    <t xml:space="preserve">четырнадцать </t>
  </si>
  <si>
    <t xml:space="preserve">пятьдесят </t>
  </si>
  <si>
    <t xml:space="preserve">пятьсот </t>
  </si>
  <si>
    <t xml:space="preserve">шесть </t>
  </si>
  <si>
    <t xml:space="preserve">пятнадцать </t>
  </si>
  <si>
    <t xml:space="preserve">шестьдесят </t>
  </si>
  <si>
    <t xml:space="preserve">шестьсот </t>
  </si>
  <si>
    <t xml:space="preserve">семь </t>
  </si>
  <si>
    <t xml:space="preserve">шестнадцать </t>
  </si>
  <si>
    <t xml:space="preserve">семьдесят </t>
  </si>
  <si>
    <t xml:space="preserve">семьсот </t>
  </si>
  <si>
    <t xml:space="preserve">восемь </t>
  </si>
  <si>
    <t xml:space="preserve">семнадцать </t>
  </si>
  <si>
    <t xml:space="preserve">восемьдесят </t>
  </si>
  <si>
    <t xml:space="preserve">восемьсот </t>
  </si>
  <si>
    <t xml:space="preserve">девять </t>
  </si>
  <si>
    <t xml:space="preserve">восемнадцать </t>
  </si>
  <si>
    <t xml:space="preserve">девяносто </t>
  </si>
  <si>
    <t xml:space="preserve">девятьсот </t>
  </si>
  <si>
    <t xml:space="preserve">девятнадцать </t>
  </si>
  <si>
    <t xml:space="preserve">сто </t>
  </si>
  <si>
    <t xml:space="preserve">Автор : Ap0st0l  |  Рихтовал: 0legator     ©2005 </t>
  </si>
  <si>
    <t>http://www.allok.ru/</t>
  </si>
  <si>
    <t>Замечания и пожелания - сюда:</t>
  </si>
  <si>
    <t>olegator@allok.ru</t>
  </si>
  <si>
    <t>© Олег Оксанич 2005г  www.allok.ru</t>
  </si>
  <si>
    <r>
      <t xml:space="preserve"> </t>
    </r>
    <r>
      <rPr>
        <sz val="10"/>
        <color indexed="48"/>
        <rFont val="Arial Cyr"/>
        <charset val="204"/>
      </rPr>
      <t xml:space="preserve"> &amp; Ap0st0l</t>
    </r>
  </si>
  <si>
    <t>Дополнительные требования по качеству и комплектности:</t>
  </si>
  <si>
    <t>Гарантийные требования: наличие гарантийных обязательств завода-изготовителя.</t>
  </si>
  <si>
    <t>обязанность поставщика направлять одновременно с продукцией технические паспорта, сертификаты на продукцию, а также сертификаты соответствия и пожаробезопасности на всю продукцию, подлежащую сертификации. Продукция должна быть новой и ранее не использованной.</t>
  </si>
  <si>
    <t>Наименование продукции, тип, марка, краткая техническая характеристика*</t>
  </si>
  <si>
    <t>Срок поставки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</si>
  <si>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</si>
  <si>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</si>
  <si>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</si>
  <si>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</si>
  <si>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</si>
  <si>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</si>
  <si>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</si>
  <si>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</si>
  <si>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</si>
  <si>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</si>
  <si>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</si>
  <si>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</si>
  <si>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</si>
  <si>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</si>
  <si>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</si>
  <si>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</si>
  <si>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</si>
  <si>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</si>
  <si>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</si>
  <si>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</si>
  <si>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</si>
  <si>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</si>
  <si>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</si>
  <si>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</si>
  <si>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</si>
  <si>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</si>
  <si>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</si>
  <si>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</si>
  <si>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</si>
  <si>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</si>
  <si>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</si>
  <si>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</si>
  <si>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</si>
  <si>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</si>
  <si>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</si>
  <si>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</si>
  <si>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</si>
  <si>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</si>
  <si>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</si>
  <si>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</si>
  <si>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</si>
  <si>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</si>
  <si>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</si>
  <si>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</si>
  <si>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</si>
  <si>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</si>
  <si>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</si>
  <si>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</si>
  <si>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</si>
  <si>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</si>
  <si>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</si>
  <si>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</si>
  <si>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</si>
  <si>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</si>
  <si>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</si>
  <si>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</si>
  <si>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</si>
  <si>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</si>
  <si>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</si>
  <si>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</si>
  <si>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</si>
  <si>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</si>
  <si>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</si>
  <si>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</si>
  <si>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</si>
  <si>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</si>
  <si>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</si>
  <si>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</si>
  <si>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</si>
  <si>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</si>
  <si>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</si>
  <si>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</si>
  <si>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</si>
  <si>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</si>
  <si>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</si>
  <si>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</si>
  <si>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</si>
  <si>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</si>
  <si>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</si>
  <si>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</si>
  <si>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</si>
  <si>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</si>
  <si>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</si>
  <si>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</si>
  <si>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</si>
  <si>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</si>
  <si>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</si>
  <si>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</si>
  <si>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</si>
  <si>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</si>
  <si>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</si>
  <si>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</si>
  <si>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</si>
  <si>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</si>
  <si>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</si>
  <si>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</si>
  <si>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</si>
  <si>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</si>
  <si>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</si>
  <si>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</si>
  <si>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</si>
  <si>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</si>
  <si>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</si>
  <si>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</si>
  <si>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</si>
  <si>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</si>
  <si>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</si>
  <si>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</si>
  <si>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</si>
  <si>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</si>
  <si>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</si>
  <si>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Заглушка П 57x5 ст.20 ГОСТ 17379-2001</t>
  </si>
  <si>
    <t>Отвод П 90° 325х16 - Ст20 ГОСТ 17375-2001</t>
  </si>
  <si>
    <t>Отвод П 45° 325х16 - Ст20 ГОСТ 17375-2001</t>
  </si>
  <si>
    <t>Заглушка П 89х6-ст20 ГОСТ 17379-2001</t>
  </si>
  <si>
    <t>Тройник П 159х6-57х6 ст.20 ГОСТ 17376-2001</t>
  </si>
  <si>
    <t>Переход ПК 159х8-114х6 ст.09г2с  ГОСТ17378-2001</t>
  </si>
  <si>
    <t>Отвод П 90гр. 89х6 ст.20 ГОСТ 17375-2001</t>
  </si>
  <si>
    <t>Переход П К-108х6-89х6-09Г2С ГОСТ 17378-2001</t>
  </si>
  <si>
    <t>Тройник П 159х8-57х5-09Г2С ГОСТ 17376-2001</t>
  </si>
  <si>
    <t>Тройник 159х8-108х6 ст.20 ГОСТ 17376-83</t>
  </si>
  <si>
    <t>Заглушка 57х6-09Г2С ГОСТ 17379-2001</t>
  </si>
  <si>
    <t>Заглушка 219х10-09Г2С ГОСТ 17379-2001</t>
  </si>
  <si>
    <t>Переход П К-114х6-108х5-09Г2С ГОСТ 17378-2001</t>
  </si>
  <si>
    <t>Заглушка П 219х8-09Г2С ГОСТ 17379-2001</t>
  </si>
  <si>
    <t>Заглушка П 108х6-09Г2С ГОСТ 17379-2001</t>
  </si>
  <si>
    <t>Заглушка П 325х10-ст20 ГОСТ 17379-2001</t>
  </si>
  <si>
    <t>Тройник П 159х8-108х6 ст.20</t>
  </si>
  <si>
    <t>Отвод П 90гр. 159х8 ст.20</t>
  </si>
  <si>
    <t>Отвод 90-219х8-09Г2С ГОСТ 17375-2001</t>
  </si>
  <si>
    <t>Тройник ТС 219х14-16-0,75-хст,-09Г2С ТУ 1469-006-04606975-2000</t>
  </si>
  <si>
    <t>Тройник 108х6-09Г2С ГОСТ 17376-2001</t>
  </si>
  <si>
    <t>Переход 159х8-89х6-09Г2С ГОСТ 17378-83</t>
  </si>
  <si>
    <t>Переход 89(6)-57(5) ст.09Г2С ГОСТ 17378-01</t>
  </si>
  <si>
    <t>Переход 57х5-45х4 ст. 20 , концентрический, D=57 мм, Т=5 мм, D1=45 мм, Т1=4 мм ГОСТ 17378-2001</t>
  </si>
  <si>
    <t>Заглушка 108х8-09Г2С ГОСТ 17379-2001</t>
  </si>
  <si>
    <t>Отвод 90-57х6-09Г2С ГОСТ 17375-2001</t>
  </si>
  <si>
    <t>Переход ПК 57х4-45х4 09Г2С 17378-2001</t>
  </si>
  <si>
    <t>Переход ПК 219х8-108х8-09Г2С ГОСТ 17378-2001</t>
  </si>
  <si>
    <t>Переход ПК 159х6-108х6-09Г2С ГОСТ 17378-2001</t>
  </si>
  <si>
    <t>Переход ПК 108Х6-57Х5-09Г2С ГОСТ 17378-2001</t>
  </si>
  <si>
    <t>Отвод П90-89х6-09Г2С ГОСТ 17375-2001</t>
  </si>
  <si>
    <t>Переход ПК-108х6-57х5 ст.20 ГОСТ 17378-2001</t>
  </si>
  <si>
    <t>Переход ПК-219х8-108х6 ГОСТ 17378-2001</t>
  </si>
  <si>
    <t>Переход ПК 57х5-25х3-20 ГОСТ 17378-2001</t>
  </si>
  <si>
    <t>Тройник П 57х5-09Г2С ГОСТ 17376-2001</t>
  </si>
  <si>
    <t>Переход П К-377х10-325х8-09Г2С ГОСТ 17378-2001</t>
  </si>
  <si>
    <t>Тройник 108х8-09Г2С ГОСТ 17376-2001</t>
  </si>
  <si>
    <t>Переход П К-89х6-57х5-09Г2С ГОСТ 17378-2001</t>
  </si>
  <si>
    <t>шт</t>
  </si>
  <si>
    <t>Отвод ОГ 90 Ду325х14</t>
  </si>
  <si>
    <t>Отвод ОГ 45 Ду 325х14</t>
  </si>
  <si>
    <t>Днище ДШ 325 (14 К48)-16-0,75-УХЛ</t>
  </si>
  <si>
    <t>Отвод гнутый ОГ45°-219-5,4-0,75-5DN-1100/1100-У-0°С в заводской¶изоляции по ТУ 1469-002-04834179-2005"</t>
  </si>
  <si>
    <t>Отвод гнутый ОГ82°-219-5,4-0,75-5DN-1550/1550-У-0°С в заводской изоляции по ТУ 1469-002-04834179-2005</t>
  </si>
  <si>
    <t>Отвод П90-57х4 с термообработкой ГОСТ 17375-2001</t>
  </si>
  <si>
    <t>Отвод гнутый ОГ33°-219-5,4-0,75-5DN-950/950-У-0°С в заводской изоляции по ТУ 1469-002-04834179-2005</t>
  </si>
  <si>
    <t>Отвод гнутый ОГ35°-219-5,4-0,75-5DN-1000/1000-У-0°С в заводской изоляции по ТУ 1469-002-04834179-2005</t>
  </si>
  <si>
    <t>Отвод гнутый ОГ60°-219-5,4-0,75-5DN-1250/1250-У-0°С в заводской изоляции по ТУ 1469-002-04834179-2005</t>
  </si>
  <si>
    <t>Отвод 90-108х6 ГОСТ 17375-2001</t>
  </si>
  <si>
    <t>Тройник П 108х8-57х5 ГОСТ 17376-2001</t>
  </si>
  <si>
    <t>Заглушка 57х5 ГОСТ 17379-2001 ст20</t>
  </si>
  <si>
    <t>Тройник 159х8-20 ГОСТ 17376-2001</t>
  </si>
  <si>
    <t>Отвод П90-273х10 ГОСТ 17375-2001</t>
  </si>
  <si>
    <t>Тройник Ду 159х10-159х10</t>
  </si>
  <si>
    <t>Тройник бесшовный приварной переходной Ду325мм толщена стенок 8мм  на Ду108мм толщена стенки 7мм Ру до10 МПа сталь20</t>
  </si>
  <si>
    <t>Заглушка П159х8 ГОСТ 17379-2001</t>
  </si>
  <si>
    <t>Тройник П 159х8-89х6-20 ГОСТ 17376-2001</t>
  </si>
  <si>
    <t>Отвод ОГ 30° 325(10К55)-5,6-0,75-5DN-1100/1100 УХЛ</t>
  </si>
  <si>
    <t>Тройник 325х10-159х10</t>
  </si>
  <si>
    <t>Тройник бесшовный приварной переходной Ду 325мм толщена стенок 10мм  на Ду 108мм толщена стенки 6мм сталь20</t>
  </si>
  <si>
    <t>Тройник П 219х8-89х6 ст.09Г2С</t>
  </si>
  <si>
    <t>Заглушка П 219х6 ст.20</t>
  </si>
  <si>
    <t>Отвод П 90гр. 57х5 ст.20</t>
  </si>
  <si>
    <t>Заглушка П 273х8 ст.20</t>
  </si>
  <si>
    <t>Фланец 2-50-100 ст.20</t>
  </si>
  <si>
    <t>Заглушка 159х8-09Г2С</t>
  </si>
  <si>
    <t>Тройник П 325х10-159х8-09Г2С исполнение 2 для трубопроводов</t>
  </si>
  <si>
    <t>Отвод П 90-57х6-09Г2С</t>
  </si>
  <si>
    <t>Заглушка 325х10  ст.20</t>
  </si>
  <si>
    <t>Тройник П 159х8-57х5-09Г2С</t>
  </si>
  <si>
    <t>Тройник бесшовный приварной равнопроходной Ду 159 мм толщина стенки 8 мм Ру до 10 МПа сталь 09Г2С</t>
  </si>
  <si>
    <t>Заглушка эллиптическая исполнения 2 наружний диаметр 325мм толщина стенки 10мм сталь марки 09Г2С</t>
  </si>
  <si>
    <t>Тройник П325х10-159х8-09Г2С. Исполнение 2; D=325мм; D1=159мм; Т=10мм;Т1=8мм; для трубопроводов</t>
  </si>
  <si>
    <t>Тройник ТШС 325(14 К48)х159(8 К48)-7,5-0,6-УХЛ ГазТУ 102-488/1-05</t>
  </si>
  <si>
    <t>Тройник 219х8 ГОСТ 17376-2001</t>
  </si>
  <si>
    <t>Переход 219х10-89х6 ГОСТ 17378-01</t>
  </si>
  <si>
    <t>Переход 108х6-57х6  09Г2С ГОСТ 17378-2001</t>
  </si>
  <si>
    <t>Заглушка 89х6 ГОСТ 17379-2001</t>
  </si>
  <si>
    <t>Отвод 219х8 90 град в заводском антикоррозионном покрытии ГОСТ 17375-2001</t>
  </si>
  <si>
    <t>Отвод П90-159х8 ГОСТ 17375-2001</t>
  </si>
  <si>
    <t>Переход 57х5-20х3</t>
  </si>
  <si>
    <t>Переход пк 108x5 - 57x5 гост 17378-01</t>
  </si>
  <si>
    <t>Тройник П 108х6-89х6 ГОСТ 17376-2001</t>
  </si>
  <si>
    <t>Переход ПК 219х8-159х6 ГОСТ 17378-2001</t>
  </si>
  <si>
    <t>Отвод П90-57х5 ГОСТ 17375-2001</t>
  </si>
  <si>
    <t>Тройник П 89х6 ГОСТ 17376-2001</t>
  </si>
  <si>
    <t>Переход ПК 89х6-57х4ст.20</t>
  </si>
  <si>
    <t>Переход ПК 57х5-25х4 ст.09г2с.</t>
  </si>
  <si>
    <t>Переход ПК 325х10-108х6 ст.20</t>
  </si>
  <si>
    <t>Переход ПК 219х8-108х6 ст.20</t>
  </si>
  <si>
    <t>Тройник П 219х11 ст.20</t>
  </si>
  <si>
    <t>Тройник бесшовный приварной переходной Ду 219мм толщена стенок 10мм  на Ду 89мм толщена стенки 6мм сталь21</t>
  </si>
  <si>
    <t>Тройник бесшовный приварной переходной Ду 219мм толщена стенок 10мм  на Ду 108мм толщена стенки 6мм сталь20</t>
  </si>
  <si>
    <t>Переход концентрический наружные диаметры 273мм и 219мм толщины стенок соответственно 7мм и 6мм из стали 09Г2С К-273х7-219х6-09Г2С ГОСТ 17378-2001</t>
  </si>
  <si>
    <t>Переход П К-57х5-25х4 ГОСТ 17378-2001</t>
  </si>
  <si>
    <t>Тройник П 57х6 ГОСТ 17376-2001</t>
  </si>
  <si>
    <t>Переход П К-219х10-57х5-09Г2С</t>
  </si>
  <si>
    <t>Переход Ду57х5-25х4 ГОСТ 17378</t>
  </si>
  <si>
    <t>Тройник П 159х6-57х5-09Г2С ГОСТ 17376-2001</t>
  </si>
  <si>
    <r>
      <t xml:space="preserve">Заказ на </t>
    </r>
    <r>
      <rPr>
        <b/>
        <u/>
        <sz val="14"/>
        <rFont val="Times New Roman"/>
        <family val="1"/>
        <charset val="204"/>
      </rPr>
      <t xml:space="preserve">Поставку деталей соединительных для нужд  ООО «Газпром трансгаз Саратов»   </t>
    </r>
  </si>
  <si>
    <t xml:space="preserve">*В таблице  указаны предельные цены по каждой позиции номенклатуры. Цены, указываемые в заявке на участие в Запросе предложений, не должны превышать указанные предельные цены (стлбц. 5-9) позиции номенклатуры.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</si>
</sst>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 mmmm\,\ yyyy"/>
    <numFmt numFmtId="165" formatCode="_-* #,##0.00[$р.-419]_-;\-* #,##0.00[$р.-419]_-;_-* &quot;-&quot;??[$р.-419]_-;_-@_-"/>
    <numFmt numFmtId="166" formatCode="0.0000"/>
  </numFmts>
  <fonts count="56">
    <font>
      <sz val="10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12"/>
      <name val="Baltica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"/>
      <family val="2"/>
      <charset val="204"/>
    </font>
    <font>
      <b/>
      <sz val="28"/>
      <color indexed="13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</font>
    <font>
      <sz val="8"/>
      <color indexed="17"/>
      <name val="Arial Cyr"/>
      <family val="2"/>
      <charset val="204"/>
    </font>
    <font>
      <sz val="10"/>
      <name val="Times New Roman"/>
      <family val="1"/>
    </font>
    <font>
      <b/>
      <sz val="12"/>
      <color indexed="14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12"/>
      <name val="Arial Cyr"/>
      <family val="2"/>
      <charset val="204"/>
    </font>
    <font>
      <sz val="8"/>
      <color indexed="17"/>
      <name val="Arial Cyr"/>
      <charset val="204"/>
    </font>
    <font>
      <sz val="12"/>
      <color indexed="10"/>
      <name val="Arial Cyr"/>
      <family val="2"/>
      <charset val="204"/>
    </font>
    <font>
      <sz val="10"/>
      <color indexed="15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sz val="8"/>
      <color indexed="12"/>
      <name val="Arial Cyr"/>
      <charset val="204"/>
    </font>
    <font>
      <sz val="10"/>
      <color indexed="48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0"/>
      <name val="Helv"/>
    </font>
    <font>
      <b/>
      <sz val="11"/>
      <name val="Arial Cyr"/>
      <family val="2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3" fillId="0" borderId="0"/>
    <xf numFmtId="0" fontId="51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23" fillId="23" borderId="8" applyNumberFormat="0" applyFont="0" applyAlignment="0" applyProtection="0"/>
    <xf numFmtId="0" fontId="20" fillId="0" borderId="9" applyNumberFormat="0" applyFill="0" applyAlignment="0" applyProtection="0"/>
    <xf numFmtId="0" fontId="4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110">
    <xf numFmtId="0" fontId="0" fillId="0" borderId="0" xfId="0"/>
    <xf numFmtId="0" fontId="25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horizontal="center" vertical="center"/>
    </xf>
    <xf numFmtId="0" fontId="25" fillId="0" borderId="0" xfId="38" applyFont="1" applyFill="1" applyAlignment="1">
      <alignment vertical="center"/>
    </xf>
    <xf numFmtId="0" fontId="25" fillId="0" borderId="0" xfId="38" applyFont="1" applyFill="1" applyAlignment="1">
      <alignment vertical="center" wrapText="1"/>
    </xf>
    <xf numFmtId="0" fontId="25" fillId="0" borderId="0" xfId="38" applyFont="1" applyFill="1" applyAlignment="1">
      <alignment horizontal="center" vertical="center" wrapText="1"/>
    </xf>
    <xf numFmtId="4" fontId="25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NumberFormat="1" applyFont="1" applyFill="1" applyAlignment="1">
      <alignment horizontal="center" vertical="center"/>
    </xf>
    <xf numFmtId="0" fontId="26" fillId="0" borderId="0" xfId="0" applyNumberFormat="1" applyFont="1" applyFill="1" applyBorder="1" applyAlignment="1">
      <alignment horizontal="left" vertical="center" wrapText="1"/>
    </xf>
    <xf numFmtId="0" fontId="26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0" fontId="26" fillId="0" borderId="0" xfId="38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0" fontId="25" fillId="0" borderId="0" xfId="0" applyFont="1" applyFill="1" applyBorder="1"/>
    <xf numFmtId="4" fontId="25" fillId="0" borderId="0" xfId="0" applyNumberFormat="1" applyFont="1" applyFill="1" applyBorder="1" applyAlignment="1">
      <alignment horizontal="right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49" fontId="25" fillId="0" borderId="14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3" fillId="0" borderId="0" xfId="41" applyNumberFormat="1"/>
    <xf numFmtId="0" fontId="23" fillId="0" borderId="0" xfId="41" applyNumberFormat="1" applyBorder="1"/>
    <xf numFmtId="4" fontId="30" fillId="24" borderId="0" xfId="41" applyNumberFormat="1" applyFont="1" applyFill="1" applyBorder="1" applyAlignment="1">
      <alignment horizontal="right"/>
    </xf>
    <xf numFmtId="2" fontId="31" fillId="24" borderId="0" xfId="41" applyNumberFormat="1" applyFont="1" applyFill="1"/>
    <xf numFmtId="0" fontId="23" fillId="0" borderId="0" xfId="41" applyNumberFormat="1" applyAlignment="1">
      <alignment horizontal="left"/>
    </xf>
    <xf numFmtId="0" fontId="32" fillId="0" borderId="0" xfId="41" applyNumberFormat="1" applyFont="1"/>
    <xf numFmtId="0" fontId="31" fillId="0" borderId="0" xfId="41" applyNumberFormat="1" applyFont="1"/>
    <xf numFmtId="4" fontId="30" fillId="0" borderId="0" xfId="41" applyNumberFormat="1" applyFont="1" applyAlignment="1">
      <alignment horizontal="right"/>
    </xf>
    <xf numFmtId="0" fontId="33" fillId="0" borderId="0" xfId="41" applyFont="1"/>
    <xf numFmtId="0" fontId="23" fillId="0" borderId="0" xfId="41"/>
    <xf numFmtId="0" fontId="23" fillId="0" borderId="0" xfId="41" applyAlignment="1">
      <alignment horizontal="right"/>
    </xf>
    <xf numFmtId="0" fontId="23" fillId="0" borderId="0" xfId="41" applyAlignment="1">
      <alignment horizontal="center"/>
    </xf>
    <xf numFmtId="0" fontId="23" fillId="0" borderId="0" xfId="41" applyAlignment="1">
      <alignment horizontal="left"/>
    </xf>
    <xf numFmtId="0" fontId="33" fillId="0" borderId="0" xfId="41" applyFont="1" applyProtection="1">
      <protection hidden="1"/>
    </xf>
    <xf numFmtId="0" fontId="35" fillId="0" borderId="0" xfId="41" applyNumberFormat="1" applyFont="1"/>
    <xf numFmtId="164" fontId="36" fillId="0" borderId="0" xfId="41" applyNumberFormat="1" applyFont="1" applyBorder="1" applyAlignment="1">
      <alignment horizontal="left"/>
    </xf>
    <xf numFmtId="0" fontId="37" fillId="0" borderId="0" xfId="41" applyNumberFormat="1" applyFont="1"/>
    <xf numFmtId="0" fontId="23" fillId="0" borderId="0" xfId="41" applyNumberFormat="1" applyAlignment="1">
      <alignment horizontal="right"/>
    </xf>
    <xf numFmtId="0" fontId="35" fillId="0" borderId="0" xfId="41" applyNumberFormat="1" applyFont="1" applyAlignment="1">
      <alignment horizontal="right"/>
    </xf>
    <xf numFmtId="0" fontId="39" fillId="0" borderId="0" xfId="41" applyNumberFormat="1" applyFont="1"/>
    <xf numFmtId="0" fontId="35" fillId="0" borderId="0" xfId="41" applyNumberFormat="1" applyFont="1" applyAlignment="1">
      <alignment horizontal="center"/>
    </xf>
    <xf numFmtId="0" fontId="40" fillId="0" borderId="0" xfId="41" applyNumberFormat="1" applyFont="1"/>
    <xf numFmtId="0" fontId="41" fillId="0" borderId="0" xfId="41" applyNumberFormat="1" applyFont="1"/>
    <xf numFmtId="165" fontId="23" fillId="0" borderId="0" xfId="41" applyNumberFormat="1"/>
    <xf numFmtId="2" fontId="23" fillId="0" borderId="0" xfId="41" applyNumberFormat="1" applyAlignment="1">
      <alignment horizontal="right"/>
    </xf>
    <xf numFmtId="22" fontId="23" fillId="0" borderId="0" xfId="41" applyNumberFormat="1"/>
    <xf numFmtId="0" fontId="41" fillId="0" borderId="0" xfId="41" applyNumberFormat="1" applyFont="1" applyAlignment="1">
      <alignment horizontal="right"/>
    </xf>
    <xf numFmtId="0" fontId="42" fillId="0" borderId="0" xfId="41" applyNumberFormat="1" applyFont="1" applyAlignment="1">
      <alignment shrinkToFit="1"/>
    </xf>
    <xf numFmtId="0" fontId="41" fillId="0" borderId="0" xfId="41" applyNumberFormat="1" applyFont="1" applyAlignment="1">
      <alignment horizontal="left"/>
    </xf>
    <xf numFmtId="14" fontId="41" fillId="0" borderId="0" xfId="41" applyNumberFormat="1" applyFont="1"/>
    <xf numFmtId="0" fontId="36" fillId="0" borderId="0" xfId="41" applyNumberFormat="1" applyFont="1"/>
    <xf numFmtId="4" fontId="36" fillId="0" borderId="0" xfId="41" applyNumberFormat="1" applyFont="1" applyAlignment="1">
      <alignment horizontal="right"/>
    </xf>
    <xf numFmtId="22" fontId="41" fillId="0" borderId="0" xfId="41" applyNumberFormat="1" applyFont="1"/>
    <xf numFmtId="4" fontId="41" fillId="0" borderId="0" xfId="41" applyNumberFormat="1" applyFont="1" applyAlignment="1">
      <alignment horizontal="left"/>
    </xf>
    <xf numFmtId="0" fontId="43" fillId="0" borderId="0" xfId="41" applyNumberFormat="1" applyFont="1"/>
    <xf numFmtId="0" fontId="43" fillId="0" borderId="0" xfId="41" applyNumberFormat="1" applyFont="1" applyAlignment="1">
      <alignment shrinkToFit="1"/>
    </xf>
    <xf numFmtId="0" fontId="44" fillId="0" borderId="0" xfId="41" applyNumberFormat="1" applyFont="1" applyAlignment="1">
      <alignment shrinkToFit="1"/>
    </xf>
    <xf numFmtId="3" fontId="41" fillId="0" borderId="0" xfId="41" applyNumberFormat="1" applyFont="1"/>
    <xf numFmtId="0" fontId="36" fillId="0" borderId="0" xfId="41" applyNumberFormat="1" applyFont="1" applyAlignment="1">
      <alignment horizontal="right"/>
    </xf>
    <xf numFmtId="1" fontId="41" fillId="0" borderId="0" xfId="41" applyNumberFormat="1" applyFont="1" applyAlignment="1">
      <alignment horizontal="right"/>
    </xf>
    <xf numFmtId="0" fontId="45" fillId="0" borderId="0" xfId="41" applyNumberFormat="1" applyFont="1"/>
    <xf numFmtId="0" fontId="45" fillId="0" borderId="0" xfId="41" applyNumberFormat="1" applyFont="1" applyBorder="1"/>
    <xf numFmtId="0" fontId="2" fillId="0" borderId="0" xfId="28" applyNumberFormat="1" applyAlignment="1" applyProtection="1"/>
    <xf numFmtId="0" fontId="50" fillId="0" borderId="0" xfId="0" applyNumberFormat="1" applyFont="1" applyAlignment="1">
      <alignment horizontal="left" vertical="center" wrapText="1"/>
    </xf>
    <xf numFmtId="0" fontId="35" fillId="0" borderId="0" xfId="39" applyFont="1" applyFill="1" applyBorder="1" applyAlignment="1">
      <alignment vertical="center"/>
    </xf>
    <xf numFmtId="4" fontId="35" fillId="0" borderId="0" xfId="39" applyNumberFormat="1" applyFont="1" applyFill="1" applyBorder="1" applyAlignment="1">
      <alignment vertical="center"/>
    </xf>
    <xf numFmtId="4" fontId="52" fillId="0" borderId="0" xfId="39" applyNumberFormat="1" applyFont="1" applyFill="1" applyBorder="1" applyAlignment="1">
      <alignment horizontal="center" vertical="center" wrapText="1"/>
    </xf>
    <xf numFmtId="0" fontId="30" fillId="0" borderId="0" xfId="39" applyFont="1" applyAlignment="1"/>
    <xf numFmtId="0" fontId="26" fillId="0" borderId="0" xfId="40" applyFont="1" applyAlignment="1"/>
    <xf numFmtId="0" fontId="25" fillId="25" borderId="0" xfId="0" applyFont="1" applyFill="1"/>
    <xf numFmtId="0" fontId="26" fillId="0" borderId="10" xfId="0" applyNumberFormat="1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26" fillId="0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55" fillId="30" borderId="11" xfId="0" applyFont="1" applyFill="1" applyBorder="1" applyAlignment="1">
      <alignment vertical="center" wrapText="1"/>
    </xf>
    <xf numFmtId="2" fontId="25" fillId="0" borderId="11" xfId="0" applyNumberFormat="1" applyFont="1" applyFill="1" applyBorder="1" applyAlignment="1">
      <alignment horizontal="center" vertical="center" wrapText="1"/>
    </xf>
    <xf numFmtId="0" fontId="26" fillId="0" borderId="0" xfId="38" applyFont="1" applyFill="1" applyAlignment="1">
      <alignment vertical="center" wrapText="1"/>
    </xf>
    <xf numFmtId="4" fontId="25" fillId="0" borderId="11" xfId="0" applyNumberFormat="1" applyFont="1" applyFill="1" applyBorder="1" applyAlignment="1">
      <alignment horizontal="right" vertical="center"/>
    </xf>
    <xf numFmtId="2" fontId="25" fillId="0" borderId="0" xfId="0" applyNumberFormat="1" applyFont="1" applyFill="1" applyAlignment="1">
      <alignment horizontal="left" vertical="center"/>
    </xf>
    <xf numFmtId="9" fontId="25" fillId="0" borderId="0" xfId="0" applyNumberFormat="1" applyFont="1" applyFill="1" applyAlignment="1">
      <alignment horizontal="center" vertical="center"/>
    </xf>
    <xf numFmtId="166" fontId="25" fillId="0" borderId="0" xfId="0" applyNumberFormat="1" applyFont="1" applyFill="1" applyAlignment="1">
      <alignment horizontal="center" vertical="center"/>
    </xf>
    <xf numFmtId="0" fontId="55" fillId="0" borderId="11" xfId="0" applyFont="1" applyFill="1" applyBorder="1" applyAlignment="1">
      <alignment vertical="center" wrapText="1"/>
    </xf>
    <xf numFmtId="14" fontId="25" fillId="29" borderId="16" xfId="0" applyNumberFormat="1" applyFont="1" applyFill="1" applyBorder="1" applyAlignment="1">
      <alignment horizontal="center" vertical="center" wrapText="1"/>
    </xf>
    <xf numFmtId="4" fontId="28" fillId="0" borderId="15" xfId="0" applyNumberFormat="1" applyFont="1" applyFill="1" applyBorder="1" applyAlignment="1">
      <alignment vertical="center"/>
    </xf>
    <xf numFmtId="4" fontId="28" fillId="29" borderId="15" xfId="0" applyNumberFormat="1" applyFont="1" applyFill="1" applyBorder="1" applyAlignment="1">
      <alignment vertical="center"/>
    </xf>
    <xf numFmtId="4" fontId="26" fillId="0" borderId="12" xfId="0" applyNumberFormat="1" applyFont="1" applyFill="1" applyBorder="1" applyAlignment="1">
      <alignment horizontal="right" vertical="center" wrapText="1"/>
    </xf>
    <xf numFmtId="49" fontId="50" fillId="0" borderId="17" xfId="0" applyNumberFormat="1" applyFont="1" applyBorder="1" applyAlignment="1">
      <alignment horizontal="center" vertical="center" wrapText="1"/>
    </xf>
    <xf numFmtId="49" fontId="50" fillId="0" borderId="18" xfId="0" applyNumberFormat="1" applyFont="1" applyBorder="1" applyAlignment="1">
      <alignment horizontal="center" vertical="center" wrapText="1"/>
    </xf>
    <xf numFmtId="49" fontId="50" fillId="0" borderId="19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6" fillId="0" borderId="0" xfId="38" applyFont="1" applyFill="1" applyAlignment="1">
      <alignment horizontal="center" vertical="center"/>
    </xf>
    <xf numFmtId="0" fontId="53" fillId="0" borderId="0" xfId="0" applyNumberFormat="1" applyFont="1" applyAlignment="1">
      <alignment horizontal="left" vertical="center" wrapText="1"/>
    </xf>
    <xf numFmtId="0" fontId="50" fillId="0" borderId="0" xfId="0" applyNumberFormat="1" applyFont="1" applyAlignment="1">
      <alignment horizontal="left" vertical="center" wrapText="1"/>
    </xf>
    <xf numFmtId="0" fontId="26" fillId="25" borderId="0" xfId="0" applyFont="1" applyFill="1" applyAlignment="1">
      <alignment horizontal="left" vertical="center" wrapText="1"/>
    </xf>
    <xf numFmtId="0" fontId="41" fillId="0" borderId="0" xfId="41" applyNumberFormat="1" applyFont="1" applyAlignment="1">
      <alignment horizontal="right"/>
    </xf>
    <xf numFmtId="0" fontId="2" fillId="0" borderId="0" xfId="28" applyNumberFormat="1" applyAlignment="1" applyProtection="1"/>
    <xf numFmtId="0" fontId="29" fillId="26" borderId="0" xfId="41" applyNumberFormat="1" applyFont="1" applyFill="1" applyAlignment="1">
      <alignment horizontal="center" vertical="center" wrapText="1"/>
    </xf>
    <xf numFmtId="14" fontId="34" fillId="27" borderId="0" xfId="41" applyNumberFormat="1" applyFont="1" applyFill="1" applyAlignment="1">
      <alignment horizontal="center"/>
    </xf>
    <xf numFmtId="164" fontId="36" fillId="0" borderId="0" xfId="41" applyNumberFormat="1" applyFont="1" applyBorder="1" applyAlignment="1">
      <alignment horizontal="left"/>
    </xf>
    <xf numFmtId="0" fontId="38" fillId="28" borderId="0" xfId="41" applyNumberFormat="1" applyFont="1" applyFill="1" applyAlignment="1">
      <alignment horizontal="center" vertical="center" wrapText="1"/>
    </xf>
    <xf numFmtId="0" fontId="46" fillId="24" borderId="0" xfId="41" applyNumberFormat="1" applyFont="1" applyFill="1" applyAlignment="1">
      <alignment horizontal="right" vertical="center" wrapText="1"/>
    </xf>
  </cellXfs>
  <cellStyles count="5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_Сч-фактура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_Лист1" xfId="38"/>
    <cellStyle name="Обычный_Лист1 2 2" xfId="39"/>
    <cellStyle name="Обычный_Приложение №3 2" xfId="40"/>
    <cellStyle name="Обычный_Сч-фактура" xfId="41"/>
    <cellStyle name="Плохой" xfId="42" builtinId="27" customBuiltin="1"/>
    <cellStyle name="Пояснение" xfId="43" builtinId="53" customBuiltin="1"/>
    <cellStyle name="Примечание" xfId="44" builtinId="10" customBuiltin="1"/>
    <cellStyle name="Примечание 2" xfId="45"/>
    <cellStyle name="Связанная ячейка" xfId="46" builtinId="24" customBuiltin="1"/>
    <cellStyle name="Стиль 1" xfId="47"/>
    <cellStyle name="Текст предупреждения" xfId="48" builtinId="11" customBuiltin="1"/>
    <cellStyle name="Хороший" xfId="4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olegator@allok.ru?subject=&#1063;&#1080;&#1089;&#1083;&#1086;_&#1087;&#1088;&#1086;&#1087;&#1080;&#1089;&#1100;&#1102;_&#1074;_Excel" TargetMode="External"/><Relationship Id="rId2" Type="http://schemas.openxmlformats.org/officeDocument/2006/relationships/hyperlink" Target="http://www.allok.ru/" TargetMode="External"/><Relationship Id="rId1" Type="http://schemas.openxmlformats.org/officeDocument/2006/relationships/hyperlink" Target="http://www.allok.ru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olegator@allok.ru?subject=&#1063;&#1080;&#1089;&#1083;&#1086;_&#1087;&#1088;&#1086;&#1087;&#1080;&#1089;&#1100;&#1102;_&#1074;_Excel" TargetMode="External"/><Relationship Id="rId2" Type="http://schemas.openxmlformats.org/officeDocument/2006/relationships/hyperlink" Target="http://www.allok.ru/" TargetMode="External"/><Relationship Id="rId1" Type="http://schemas.openxmlformats.org/officeDocument/2006/relationships/hyperlink" Target="http://www.allok.ru/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32"/>
  <sheetViews>
    <sheetView tabSelected="1" topLeftCell="A112" zoomScale="75" zoomScaleNormal="75" zoomScaleSheetLayoutView="70" workbookViewId="0">
      <selection activeCell="A7" sqref="A7:J7"/>
    </sheetView>
  </sheetViews>
  <sheetFormatPr defaultColWidth="9.109375" defaultRowHeight="18"/>
  <cols>
    <col min="1" max="1" width="5.5546875" style="1" customWidth="1"/>
    <col min="2" max="2" width="61.6640625" style="1" customWidth="1"/>
    <col min="3" max="3" width="10.5546875" style="1" customWidth="1"/>
    <col min="4" max="4" width="12" style="1" customWidth="1"/>
    <col min="5" max="5" width="22.109375" style="2" customWidth="1"/>
    <col min="6" max="6" width="19.109375" style="3" customWidth="1"/>
    <col min="7" max="7" width="24.5546875" style="1" customWidth="1"/>
    <col min="8" max="8" width="21.88671875" style="1" customWidth="1"/>
    <col min="9" max="9" width="19.33203125" style="1" customWidth="1"/>
    <col min="10" max="10" width="18.109375" style="1" customWidth="1"/>
    <col min="11" max="11" width="9.109375" style="1"/>
    <col min="12" max="12" width="26.33203125" style="1" customWidth="1"/>
    <col min="13" max="13" width="21" style="1" customWidth="1"/>
    <col min="14" max="14" width="27.5546875" style="1" customWidth="1"/>
    <col min="15" max="15" width="25.109375" style="1" customWidth="1"/>
    <col min="16" max="16384" width="9.109375" style="1"/>
  </cols>
  <sheetData>
    <row r="2" spans="1:15">
      <c r="B2" s="23"/>
    </row>
    <row r="3" spans="1:15" ht="39" customHeight="1">
      <c r="B3" s="98" t="s">
        <v>279</v>
      </c>
      <c r="C3" s="98"/>
      <c r="D3" s="98"/>
      <c r="E3" s="98"/>
      <c r="F3" s="98"/>
      <c r="G3" s="98"/>
      <c r="H3" s="98"/>
      <c r="I3" s="98"/>
      <c r="J3" s="98"/>
    </row>
    <row r="4" spans="1:15" s="8" customFormat="1" ht="28.5" customHeight="1">
      <c r="A4" s="4"/>
      <c r="B4" s="85"/>
      <c r="C4" s="5"/>
      <c r="D4" s="6"/>
      <c r="E4" s="7"/>
      <c r="F4" s="3"/>
    </row>
    <row r="5" spans="1:15" s="8" customFormat="1" ht="27" customHeight="1" thickBot="1">
      <c r="A5" s="99" t="s">
        <v>8</v>
      </c>
      <c r="B5" s="99"/>
      <c r="C5" s="99"/>
      <c r="D5" s="99"/>
      <c r="E5" s="99"/>
      <c r="F5" s="99"/>
      <c r="G5" s="99"/>
      <c r="H5" s="99"/>
      <c r="I5" s="99"/>
      <c r="J5" s="99"/>
    </row>
    <row r="6" spans="1:15" s="3" customFormat="1" ht="79.5" customHeight="1" thickBot="1">
      <c r="A6" s="17" t="s">
        <v>0</v>
      </c>
      <c r="B6" s="19" t="s">
        <v>67</v>
      </c>
      <c r="C6" s="19" t="s">
        <v>9</v>
      </c>
      <c r="D6" s="19" t="s">
        <v>1</v>
      </c>
      <c r="E6" s="20" t="s">
        <v>7</v>
      </c>
      <c r="F6" s="20" t="s">
        <v>3</v>
      </c>
      <c r="G6" s="20" t="s">
        <v>4</v>
      </c>
      <c r="H6" s="20" t="s">
        <v>5</v>
      </c>
      <c r="I6" s="20" t="s">
        <v>6</v>
      </c>
      <c r="J6" s="21" t="s">
        <v>68</v>
      </c>
      <c r="O6" s="88"/>
    </row>
    <row r="7" spans="1:15" s="3" customFormat="1" ht="21" customHeight="1">
      <c r="A7" s="95" t="s">
        <v>10</v>
      </c>
      <c r="B7" s="96" t="s">
        <v>69</v>
      </c>
      <c r="C7" s="96" t="s">
        <v>70</v>
      </c>
      <c r="D7" s="96" t="s">
        <v>71</v>
      </c>
      <c r="E7" s="96" t="s">
        <v>72</v>
      </c>
      <c r="F7" s="96" t="s">
        <v>73</v>
      </c>
      <c r="G7" s="96" t="s">
        <v>74</v>
      </c>
      <c r="H7" s="96" t="s">
        <v>75</v>
      </c>
      <c r="I7" s="96" t="s">
        <v>76</v>
      </c>
      <c r="J7" s="97" t="s">
        <v>77</v>
      </c>
      <c r="O7" s="88"/>
    </row>
    <row r="8" spans="1:15" s="3" customFormat="1">
      <c r="A8" s="22" t="s">
        <v>10</v>
      </c>
      <c r="B8" s="83" t="s">
        <v>219</v>
      </c>
      <c r="C8" s="18" t="s">
        <v>218</v>
      </c>
      <c r="D8" s="84">
        <v>2</v>
      </c>
      <c r="E8" s="86">
        <f>F8/1.03</f>
        <v>13528.640776699029</v>
      </c>
      <c r="F8" s="92">
        <v>13934.5</v>
      </c>
      <c r="G8" s="93">
        <f>F8*D8</f>
        <v>27869</v>
      </c>
      <c r="H8" s="93">
        <f>I8-G8</f>
        <v>5016.4199999999983</v>
      </c>
      <c r="I8" s="93">
        <f>G8*1.18</f>
        <v>32885.42</v>
      </c>
      <c r="J8" s="91">
        <v>42369</v>
      </c>
      <c r="L8" s="87"/>
      <c r="O8" s="89"/>
    </row>
    <row r="9" spans="1:15" s="3" customFormat="1">
      <c r="A9" s="22" t="s">
        <v>69</v>
      </c>
      <c r="B9" s="83" t="s">
        <v>220</v>
      </c>
      <c r="C9" s="18" t="s">
        <v>218</v>
      </c>
      <c r="D9" s="84">
        <v>2</v>
      </c>
      <c r="E9" s="86">
        <f t="shared" ref="E9:E72" si="0">F9/1.03</f>
        <v>10534.951456310679</v>
      </c>
      <c r="F9" s="92">
        <v>10851</v>
      </c>
      <c r="G9" s="93">
        <f t="shared" ref="G9:G72" si="1">F9*D9</f>
        <v>21702</v>
      </c>
      <c r="H9" s="93">
        <f t="shared" ref="H9:H72" si="2">I9-G9</f>
        <v>3906.3599999999969</v>
      </c>
      <c r="I9" s="93">
        <f t="shared" ref="I9:I72" si="3">G9*1.18</f>
        <v>25608.359999999997</v>
      </c>
      <c r="J9" s="91">
        <v>42369</v>
      </c>
      <c r="L9" s="87"/>
      <c r="O9" s="89"/>
    </row>
    <row r="10" spans="1:15" s="3" customFormat="1">
      <c r="A10" s="22" t="s">
        <v>70</v>
      </c>
      <c r="B10" s="83" t="s">
        <v>180</v>
      </c>
      <c r="C10" s="18" t="s">
        <v>218</v>
      </c>
      <c r="D10" s="84">
        <v>40</v>
      </c>
      <c r="E10" s="86">
        <f t="shared" si="0"/>
        <v>133.49514563106797</v>
      </c>
      <c r="F10" s="92">
        <v>137.5</v>
      </c>
      <c r="G10" s="93">
        <f t="shared" si="1"/>
        <v>5500</v>
      </c>
      <c r="H10" s="93">
        <f t="shared" si="2"/>
        <v>990</v>
      </c>
      <c r="I10" s="93">
        <f t="shared" si="3"/>
        <v>6490</v>
      </c>
      <c r="J10" s="91">
        <v>42369</v>
      </c>
      <c r="L10" s="87"/>
      <c r="O10" s="89"/>
    </row>
    <row r="11" spans="1:15" s="3" customFormat="1">
      <c r="A11" s="22" t="s">
        <v>71</v>
      </c>
      <c r="B11" s="83" t="s">
        <v>181</v>
      </c>
      <c r="C11" s="18" t="s">
        <v>218</v>
      </c>
      <c r="D11" s="84">
        <v>2</v>
      </c>
      <c r="E11" s="86">
        <f t="shared" si="0"/>
        <v>13169.417475728154</v>
      </c>
      <c r="F11" s="92">
        <v>13564.5</v>
      </c>
      <c r="G11" s="93">
        <f t="shared" si="1"/>
        <v>27129</v>
      </c>
      <c r="H11" s="93">
        <f t="shared" si="2"/>
        <v>4883.2199999999975</v>
      </c>
      <c r="I11" s="93">
        <f t="shared" si="3"/>
        <v>32012.219999999998</v>
      </c>
      <c r="J11" s="91">
        <v>42369</v>
      </c>
      <c r="L11" s="87"/>
      <c r="O11" s="89"/>
    </row>
    <row r="12" spans="1:15" s="3" customFormat="1">
      <c r="A12" s="22" t="s">
        <v>72</v>
      </c>
      <c r="B12" s="83" t="s">
        <v>182</v>
      </c>
      <c r="C12" s="18" t="s">
        <v>218</v>
      </c>
      <c r="D12" s="84">
        <v>2</v>
      </c>
      <c r="E12" s="86">
        <f t="shared" si="0"/>
        <v>10534.951456310679</v>
      </c>
      <c r="F12" s="92">
        <v>10851</v>
      </c>
      <c r="G12" s="93">
        <f t="shared" si="1"/>
        <v>21702</v>
      </c>
      <c r="H12" s="93">
        <f t="shared" si="2"/>
        <v>3906.3599999999969</v>
      </c>
      <c r="I12" s="93">
        <f t="shared" si="3"/>
        <v>25608.359999999997</v>
      </c>
      <c r="J12" s="91">
        <v>42369</v>
      </c>
      <c r="L12" s="87"/>
      <c r="O12" s="89"/>
    </row>
    <row r="13" spans="1:15" s="3" customFormat="1">
      <c r="A13" s="22" t="s">
        <v>73</v>
      </c>
      <c r="B13" s="83" t="s">
        <v>221</v>
      </c>
      <c r="C13" s="18" t="s">
        <v>218</v>
      </c>
      <c r="D13" s="84">
        <v>2</v>
      </c>
      <c r="E13" s="86">
        <f t="shared" si="0"/>
        <v>9895.1456310679605</v>
      </c>
      <c r="F13" s="92">
        <v>10192</v>
      </c>
      <c r="G13" s="93">
        <f t="shared" si="1"/>
        <v>20384</v>
      </c>
      <c r="H13" s="93">
        <f t="shared" si="2"/>
        <v>3669.119999999999</v>
      </c>
      <c r="I13" s="93">
        <f t="shared" si="3"/>
        <v>24053.119999999999</v>
      </c>
      <c r="J13" s="91">
        <v>42369</v>
      </c>
      <c r="L13" s="87"/>
      <c r="O13" s="89"/>
    </row>
    <row r="14" spans="1:15" s="3" customFormat="1">
      <c r="A14" s="22" t="s">
        <v>74</v>
      </c>
      <c r="B14" s="83" t="s">
        <v>183</v>
      </c>
      <c r="C14" s="18" t="s">
        <v>218</v>
      </c>
      <c r="D14" s="84">
        <v>32</v>
      </c>
      <c r="E14" s="86">
        <f t="shared" si="0"/>
        <v>216.99029126213591</v>
      </c>
      <c r="F14" s="92">
        <v>223.5</v>
      </c>
      <c r="G14" s="93">
        <f t="shared" si="1"/>
        <v>7152</v>
      </c>
      <c r="H14" s="93">
        <f t="shared" si="2"/>
        <v>1287.3599999999988</v>
      </c>
      <c r="I14" s="93">
        <f t="shared" si="3"/>
        <v>8439.3599999999988</v>
      </c>
      <c r="J14" s="91">
        <v>42369</v>
      </c>
      <c r="L14" s="87"/>
      <c r="O14" s="89"/>
    </row>
    <row r="15" spans="1:15" s="3" customFormat="1">
      <c r="A15" s="22" t="s">
        <v>75</v>
      </c>
      <c r="B15" s="83" t="s">
        <v>184</v>
      </c>
      <c r="C15" s="18" t="s">
        <v>218</v>
      </c>
      <c r="D15" s="84">
        <v>2</v>
      </c>
      <c r="E15" s="86">
        <f t="shared" si="0"/>
        <v>959.70873786407765</v>
      </c>
      <c r="F15" s="92">
        <v>988.5</v>
      </c>
      <c r="G15" s="93">
        <f t="shared" si="1"/>
        <v>1977</v>
      </c>
      <c r="H15" s="93">
        <f t="shared" si="2"/>
        <v>355.85999999999967</v>
      </c>
      <c r="I15" s="93">
        <f t="shared" si="3"/>
        <v>2332.8599999999997</v>
      </c>
      <c r="J15" s="91">
        <v>42369</v>
      </c>
      <c r="L15" s="87"/>
      <c r="O15" s="89"/>
    </row>
    <row r="16" spans="1:15" s="3" customFormat="1">
      <c r="A16" s="22" t="s">
        <v>76</v>
      </c>
      <c r="B16" s="83" t="s">
        <v>185</v>
      </c>
      <c r="C16" s="18" t="s">
        <v>218</v>
      </c>
      <c r="D16" s="84">
        <v>2</v>
      </c>
      <c r="E16" s="86">
        <f t="shared" si="0"/>
        <v>912.62135922330094</v>
      </c>
      <c r="F16" s="92">
        <v>940</v>
      </c>
      <c r="G16" s="93">
        <f t="shared" si="1"/>
        <v>1880</v>
      </c>
      <c r="H16" s="93">
        <f t="shared" si="2"/>
        <v>338.40000000000009</v>
      </c>
      <c r="I16" s="93">
        <f t="shared" si="3"/>
        <v>2218.4</v>
      </c>
      <c r="J16" s="91">
        <v>42369</v>
      </c>
      <c r="L16" s="87"/>
      <c r="O16" s="89"/>
    </row>
    <row r="17" spans="1:15" s="3" customFormat="1">
      <c r="A17" s="22" t="s">
        <v>77</v>
      </c>
      <c r="B17" s="83" t="s">
        <v>186</v>
      </c>
      <c r="C17" s="18" t="s">
        <v>218</v>
      </c>
      <c r="D17" s="84">
        <v>6</v>
      </c>
      <c r="E17" s="86">
        <f t="shared" si="0"/>
        <v>340.2912621359223</v>
      </c>
      <c r="F17" s="92">
        <v>350.5</v>
      </c>
      <c r="G17" s="93">
        <f t="shared" si="1"/>
        <v>2103</v>
      </c>
      <c r="H17" s="93">
        <f t="shared" si="2"/>
        <v>378.53999999999996</v>
      </c>
      <c r="I17" s="93">
        <f t="shared" si="3"/>
        <v>2481.54</v>
      </c>
      <c r="J17" s="91">
        <v>42369</v>
      </c>
      <c r="L17" s="87"/>
      <c r="O17" s="89"/>
    </row>
    <row r="18" spans="1:15" s="3" customFormat="1">
      <c r="A18" s="22" t="s">
        <v>78</v>
      </c>
      <c r="B18" s="83" t="s">
        <v>187</v>
      </c>
      <c r="C18" s="18" t="s">
        <v>218</v>
      </c>
      <c r="D18" s="84">
        <v>10</v>
      </c>
      <c r="E18" s="86">
        <f t="shared" si="0"/>
        <v>363.59223300970871</v>
      </c>
      <c r="F18" s="92">
        <v>374.5</v>
      </c>
      <c r="G18" s="93">
        <f t="shared" si="1"/>
        <v>3745</v>
      </c>
      <c r="H18" s="93">
        <f t="shared" si="2"/>
        <v>674.09999999999945</v>
      </c>
      <c r="I18" s="93">
        <f t="shared" si="3"/>
        <v>4419.0999999999995</v>
      </c>
      <c r="J18" s="91">
        <v>42369</v>
      </c>
      <c r="L18" s="87"/>
      <c r="O18" s="89"/>
    </row>
    <row r="19" spans="1:15" s="3" customFormat="1">
      <c r="A19" s="22" t="s">
        <v>79</v>
      </c>
      <c r="B19" s="83" t="s">
        <v>188</v>
      </c>
      <c r="C19" s="18" t="s">
        <v>218</v>
      </c>
      <c r="D19" s="84">
        <v>2</v>
      </c>
      <c r="E19" s="86">
        <f t="shared" si="0"/>
        <v>2747.0873786407765</v>
      </c>
      <c r="F19" s="92">
        <v>2829.5</v>
      </c>
      <c r="G19" s="93">
        <f t="shared" si="1"/>
        <v>5659</v>
      </c>
      <c r="H19" s="93">
        <f t="shared" si="2"/>
        <v>1018.6199999999999</v>
      </c>
      <c r="I19" s="93">
        <f t="shared" si="3"/>
        <v>6677.62</v>
      </c>
      <c r="J19" s="91">
        <v>42369</v>
      </c>
      <c r="L19" s="87"/>
      <c r="O19" s="89"/>
    </row>
    <row r="20" spans="1:15" s="3" customFormat="1">
      <c r="A20" s="22" t="s">
        <v>80</v>
      </c>
      <c r="B20" s="83" t="s">
        <v>189</v>
      </c>
      <c r="C20" s="18" t="s">
        <v>218</v>
      </c>
      <c r="D20" s="84">
        <v>2</v>
      </c>
      <c r="E20" s="86">
        <f t="shared" si="0"/>
        <v>3241.7475728155341</v>
      </c>
      <c r="F20" s="92">
        <v>3339</v>
      </c>
      <c r="G20" s="93">
        <f t="shared" si="1"/>
        <v>6678</v>
      </c>
      <c r="H20" s="93">
        <f>I20-G20</f>
        <v>1202.04</v>
      </c>
      <c r="I20" s="93">
        <f t="shared" si="3"/>
        <v>7880.04</v>
      </c>
      <c r="J20" s="91">
        <v>42369</v>
      </c>
      <c r="L20" s="87"/>
      <c r="O20" s="89"/>
    </row>
    <row r="21" spans="1:15" s="3" customFormat="1">
      <c r="A21" s="22" t="s">
        <v>81</v>
      </c>
      <c r="B21" s="83" t="s">
        <v>190</v>
      </c>
      <c r="C21" s="18" t="s">
        <v>218</v>
      </c>
      <c r="D21" s="84">
        <v>2</v>
      </c>
      <c r="E21" s="86">
        <f t="shared" si="0"/>
        <v>309.70873786407765</v>
      </c>
      <c r="F21" s="92">
        <v>319</v>
      </c>
      <c r="G21" s="93">
        <f t="shared" si="1"/>
        <v>638</v>
      </c>
      <c r="H21" s="93">
        <f t="shared" si="2"/>
        <v>114.83999999999992</v>
      </c>
      <c r="I21" s="93">
        <f t="shared" si="3"/>
        <v>752.83999999999992</v>
      </c>
      <c r="J21" s="91">
        <v>42369</v>
      </c>
      <c r="L21" s="87"/>
      <c r="O21" s="89"/>
    </row>
    <row r="22" spans="1:15" s="3" customFormat="1">
      <c r="A22" s="22" t="s">
        <v>82</v>
      </c>
      <c r="B22" s="83" t="s">
        <v>188</v>
      </c>
      <c r="C22" s="18" t="s">
        <v>218</v>
      </c>
      <c r="D22" s="84">
        <v>2</v>
      </c>
      <c r="E22" s="86">
        <f t="shared" si="0"/>
        <v>812.62135922330094</v>
      </c>
      <c r="F22" s="92">
        <v>837</v>
      </c>
      <c r="G22" s="93">
        <f t="shared" si="1"/>
        <v>1674</v>
      </c>
      <c r="H22" s="93">
        <f t="shared" si="2"/>
        <v>301.31999999999994</v>
      </c>
      <c r="I22" s="93">
        <f t="shared" si="3"/>
        <v>1975.32</v>
      </c>
      <c r="J22" s="91">
        <v>42369</v>
      </c>
      <c r="L22" s="87"/>
      <c r="O22" s="89"/>
    </row>
    <row r="23" spans="1:15" s="3" customFormat="1" ht="44.25" customHeight="1">
      <c r="A23" s="22" t="s">
        <v>83</v>
      </c>
      <c r="B23" s="83" t="s">
        <v>222</v>
      </c>
      <c r="C23" s="18" t="s">
        <v>218</v>
      </c>
      <c r="D23" s="84">
        <v>1</v>
      </c>
      <c r="E23" s="86">
        <f t="shared" si="0"/>
        <v>229725.72815533981</v>
      </c>
      <c r="F23" s="92">
        <v>236617.5</v>
      </c>
      <c r="G23" s="93">
        <f t="shared" si="1"/>
        <v>236617.5</v>
      </c>
      <c r="H23" s="93">
        <f t="shared" si="2"/>
        <v>42591.149999999965</v>
      </c>
      <c r="I23" s="93">
        <f t="shared" si="3"/>
        <v>279208.64999999997</v>
      </c>
      <c r="J23" s="91">
        <v>42369</v>
      </c>
      <c r="L23" s="87"/>
      <c r="O23" s="89"/>
    </row>
    <row r="24" spans="1:15" s="3" customFormat="1" ht="48" customHeight="1">
      <c r="A24" s="22" t="s">
        <v>84</v>
      </c>
      <c r="B24" s="83" t="s">
        <v>223</v>
      </c>
      <c r="C24" s="18" t="s">
        <v>218</v>
      </c>
      <c r="D24" s="84">
        <v>1</v>
      </c>
      <c r="E24" s="86">
        <f t="shared" si="0"/>
        <v>258983.98058252427</v>
      </c>
      <c r="F24" s="92">
        <v>266753.5</v>
      </c>
      <c r="G24" s="93">
        <f t="shared" si="1"/>
        <v>266753.5</v>
      </c>
      <c r="H24" s="93">
        <f t="shared" si="2"/>
        <v>48015.630000000005</v>
      </c>
      <c r="I24" s="93">
        <f t="shared" si="3"/>
        <v>314769.13</v>
      </c>
      <c r="J24" s="91">
        <v>42369</v>
      </c>
      <c r="L24" s="87"/>
      <c r="O24" s="89"/>
    </row>
    <row r="25" spans="1:15" s="3" customFormat="1">
      <c r="A25" s="22" t="s">
        <v>85</v>
      </c>
      <c r="B25" s="83" t="s">
        <v>224</v>
      </c>
      <c r="C25" s="18" t="s">
        <v>218</v>
      </c>
      <c r="D25" s="84">
        <v>3</v>
      </c>
      <c r="E25" s="86">
        <f t="shared" si="0"/>
        <v>152.91262135922329</v>
      </c>
      <c r="F25" s="92">
        <v>157.5</v>
      </c>
      <c r="G25" s="93">
        <f t="shared" si="1"/>
        <v>472.5</v>
      </c>
      <c r="H25" s="93">
        <f t="shared" si="2"/>
        <v>85.049999999999955</v>
      </c>
      <c r="I25" s="93">
        <f t="shared" si="3"/>
        <v>557.54999999999995</v>
      </c>
      <c r="J25" s="91">
        <v>42369</v>
      </c>
      <c r="L25" s="87"/>
      <c r="O25" s="89"/>
    </row>
    <row r="26" spans="1:15" s="3" customFormat="1">
      <c r="A26" s="22" t="s">
        <v>86</v>
      </c>
      <c r="B26" s="83" t="s">
        <v>191</v>
      </c>
      <c r="C26" s="18" t="s">
        <v>218</v>
      </c>
      <c r="D26" s="84">
        <v>12</v>
      </c>
      <c r="E26" s="86">
        <f t="shared" si="0"/>
        <v>844.17475728155341</v>
      </c>
      <c r="F26" s="92">
        <v>869.5</v>
      </c>
      <c r="G26" s="93">
        <f t="shared" si="1"/>
        <v>10434</v>
      </c>
      <c r="H26" s="93">
        <f t="shared" si="2"/>
        <v>1878.119999999999</v>
      </c>
      <c r="I26" s="93">
        <f t="shared" si="3"/>
        <v>12312.119999999999</v>
      </c>
      <c r="J26" s="91">
        <v>42369</v>
      </c>
      <c r="L26" s="87"/>
      <c r="O26" s="89"/>
    </row>
    <row r="27" spans="1:15" s="3" customFormat="1" ht="42.75" customHeight="1">
      <c r="A27" s="22" t="s">
        <v>87</v>
      </c>
      <c r="B27" s="83" t="s">
        <v>225</v>
      </c>
      <c r="C27" s="18" t="s">
        <v>218</v>
      </c>
      <c r="D27" s="84">
        <v>1</v>
      </c>
      <c r="E27" s="86">
        <f t="shared" si="0"/>
        <v>235532.52427184465</v>
      </c>
      <c r="F27" s="92">
        <v>242598.5</v>
      </c>
      <c r="G27" s="93">
        <f t="shared" si="1"/>
        <v>242598.5</v>
      </c>
      <c r="H27" s="93">
        <f t="shared" si="2"/>
        <v>43667.729999999981</v>
      </c>
      <c r="I27" s="93">
        <f t="shared" si="3"/>
        <v>286266.23</v>
      </c>
      <c r="J27" s="91">
        <v>42369</v>
      </c>
      <c r="L27" s="87"/>
      <c r="O27" s="89"/>
    </row>
    <row r="28" spans="1:15" s="3" customFormat="1" ht="36.75" customHeight="1">
      <c r="A28" s="22" t="s">
        <v>88</v>
      </c>
      <c r="B28" s="83" t="s">
        <v>226</v>
      </c>
      <c r="C28" s="18" t="s">
        <v>218</v>
      </c>
      <c r="D28" s="84">
        <v>1</v>
      </c>
      <c r="E28" s="86">
        <f t="shared" si="0"/>
        <v>238689.32038834953</v>
      </c>
      <c r="F28" s="92">
        <v>245850.00000000003</v>
      </c>
      <c r="G28" s="93">
        <f t="shared" si="1"/>
        <v>245850.00000000003</v>
      </c>
      <c r="H28" s="93">
        <f t="shared" si="2"/>
        <v>44252.999999999971</v>
      </c>
      <c r="I28" s="93">
        <f t="shared" si="3"/>
        <v>290103</v>
      </c>
      <c r="J28" s="91">
        <v>42369</v>
      </c>
      <c r="L28" s="87"/>
      <c r="O28" s="89"/>
    </row>
    <row r="29" spans="1:15" s="3" customFormat="1" ht="44.25" customHeight="1">
      <c r="A29" s="22" t="s">
        <v>89</v>
      </c>
      <c r="B29" s="83" t="s">
        <v>227</v>
      </c>
      <c r="C29" s="18" t="s">
        <v>218</v>
      </c>
      <c r="D29" s="84">
        <v>1</v>
      </c>
      <c r="E29" s="86">
        <f t="shared" si="0"/>
        <v>254044.66019417476</v>
      </c>
      <c r="F29" s="92">
        <v>261666</v>
      </c>
      <c r="G29" s="93">
        <f t="shared" si="1"/>
        <v>261666</v>
      </c>
      <c r="H29" s="93">
        <f t="shared" si="2"/>
        <v>47099.880000000005</v>
      </c>
      <c r="I29" s="93">
        <f t="shared" si="3"/>
        <v>308765.88</v>
      </c>
      <c r="J29" s="91">
        <v>42369</v>
      </c>
      <c r="L29" s="87"/>
      <c r="O29" s="89"/>
    </row>
    <row r="30" spans="1:15" s="3" customFormat="1">
      <c r="A30" s="22" t="s">
        <v>90</v>
      </c>
      <c r="B30" s="83" t="s">
        <v>224</v>
      </c>
      <c r="C30" s="18" t="s">
        <v>218</v>
      </c>
      <c r="D30" s="84">
        <v>3</v>
      </c>
      <c r="E30" s="86">
        <f t="shared" si="0"/>
        <v>92.71844660194175</v>
      </c>
      <c r="F30" s="92">
        <v>95.5</v>
      </c>
      <c r="G30" s="93">
        <f t="shared" si="1"/>
        <v>286.5</v>
      </c>
      <c r="H30" s="93">
        <f t="shared" si="2"/>
        <v>51.569999999999993</v>
      </c>
      <c r="I30" s="93">
        <f t="shared" si="3"/>
        <v>338.07</v>
      </c>
      <c r="J30" s="91">
        <v>42369</v>
      </c>
      <c r="L30" s="87"/>
      <c r="O30" s="89"/>
    </row>
    <row r="31" spans="1:15" s="3" customFormat="1">
      <c r="A31" s="22" t="s">
        <v>91</v>
      </c>
      <c r="B31" s="83" t="s">
        <v>228</v>
      </c>
      <c r="C31" s="18" t="s">
        <v>218</v>
      </c>
      <c r="D31" s="84">
        <v>68</v>
      </c>
      <c r="E31" s="86">
        <f t="shared" si="0"/>
        <v>441.74757281553394</v>
      </c>
      <c r="F31" s="92">
        <v>455</v>
      </c>
      <c r="G31" s="93">
        <f t="shared" si="1"/>
        <v>30940</v>
      </c>
      <c r="H31" s="93">
        <f t="shared" si="2"/>
        <v>5569.1999999999971</v>
      </c>
      <c r="I31" s="93">
        <f t="shared" si="3"/>
        <v>36509.199999999997</v>
      </c>
      <c r="J31" s="91">
        <v>42369</v>
      </c>
      <c r="L31" s="87"/>
      <c r="O31" s="89"/>
    </row>
    <row r="32" spans="1:15" s="3" customFormat="1">
      <c r="A32" s="22" t="s">
        <v>92</v>
      </c>
      <c r="B32" s="83" t="s">
        <v>192</v>
      </c>
      <c r="C32" s="18" t="s">
        <v>218</v>
      </c>
      <c r="D32" s="84">
        <v>13</v>
      </c>
      <c r="E32" s="86">
        <f t="shared" si="0"/>
        <v>761.1650485436893</v>
      </c>
      <c r="F32" s="92">
        <v>784</v>
      </c>
      <c r="G32" s="93">
        <f t="shared" si="1"/>
        <v>10192</v>
      </c>
      <c r="H32" s="93">
        <f t="shared" si="2"/>
        <v>1834.5599999999995</v>
      </c>
      <c r="I32" s="93">
        <f t="shared" si="3"/>
        <v>12026.56</v>
      </c>
      <c r="J32" s="91">
        <v>42369</v>
      </c>
      <c r="L32" s="87"/>
      <c r="O32" s="89"/>
    </row>
    <row r="33" spans="1:15" s="3" customFormat="1">
      <c r="A33" s="22" t="s">
        <v>93</v>
      </c>
      <c r="B33" s="83" t="s">
        <v>229</v>
      </c>
      <c r="C33" s="18" t="s">
        <v>218</v>
      </c>
      <c r="D33" s="84">
        <v>5</v>
      </c>
      <c r="E33" s="86">
        <f t="shared" si="0"/>
        <v>3069.9029126213591</v>
      </c>
      <c r="F33" s="92">
        <v>3162</v>
      </c>
      <c r="G33" s="93">
        <f t="shared" si="1"/>
        <v>15810</v>
      </c>
      <c r="H33" s="93">
        <f t="shared" si="2"/>
        <v>2845.7999999999993</v>
      </c>
      <c r="I33" s="93">
        <f t="shared" si="3"/>
        <v>18655.8</v>
      </c>
      <c r="J33" s="91">
        <v>42369</v>
      </c>
      <c r="L33" s="87"/>
      <c r="O33" s="89"/>
    </row>
    <row r="34" spans="1:15" s="3" customFormat="1">
      <c r="A34" s="22" t="s">
        <v>94</v>
      </c>
      <c r="B34" s="83" t="s">
        <v>230</v>
      </c>
      <c r="C34" s="18" t="s">
        <v>218</v>
      </c>
      <c r="D34" s="84">
        <v>18</v>
      </c>
      <c r="E34" s="86">
        <f t="shared" si="0"/>
        <v>129.126213592233</v>
      </c>
      <c r="F34" s="92">
        <v>133</v>
      </c>
      <c r="G34" s="93">
        <f t="shared" si="1"/>
        <v>2394</v>
      </c>
      <c r="H34" s="93">
        <f t="shared" si="2"/>
        <v>430.92000000000007</v>
      </c>
      <c r="I34" s="93">
        <f t="shared" si="3"/>
        <v>2824.92</v>
      </c>
      <c r="J34" s="91">
        <v>42369</v>
      </c>
      <c r="L34" s="87"/>
      <c r="O34" s="89"/>
    </row>
    <row r="35" spans="1:15" s="3" customFormat="1">
      <c r="A35" s="22" t="s">
        <v>95</v>
      </c>
      <c r="B35" s="83" t="s">
        <v>231</v>
      </c>
      <c r="C35" s="18" t="s">
        <v>218</v>
      </c>
      <c r="D35" s="84">
        <v>2</v>
      </c>
      <c r="E35" s="86">
        <f t="shared" si="0"/>
        <v>2757.2815533980583</v>
      </c>
      <c r="F35" s="92">
        <v>2840</v>
      </c>
      <c r="G35" s="93">
        <f t="shared" si="1"/>
        <v>5680</v>
      </c>
      <c r="H35" s="93">
        <f t="shared" si="2"/>
        <v>1022.3999999999996</v>
      </c>
      <c r="I35" s="93">
        <f t="shared" si="3"/>
        <v>6702.4</v>
      </c>
      <c r="J35" s="91">
        <v>42369</v>
      </c>
      <c r="L35" s="87"/>
      <c r="O35" s="89"/>
    </row>
    <row r="36" spans="1:15" s="3" customFormat="1">
      <c r="A36" s="22" t="s">
        <v>96</v>
      </c>
      <c r="B36" s="83" t="s">
        <v>193</v>
      </c>
      <c r="C36" s="18" t="s">
        <v>218</v>
      </c>
      <c r="D36" s="84">
        <v>1</v>
      </c>
      <c r="E36" s="86">
        <f t="shared" si="0"/>
        <v>1036.8932038834951</v>
      </c>
      <c r="F36" s="92">
        <v>1068</v>
      </c>
      <c r="G36" s="93">
        <f t="shared" si="1"/>
        <v>1068</v>
      </c>
      <c r="H36" s="93">
        <f t="shared" si="2"/>
        <v>192.24</v>
      </c>
      <c r="I36" s="93">
        <f t="shared" si="3"/>
        <v>1260.24</v>
      </c>
      <c r="J36" s="91">
        <v>42369</v>
      </c>
      <c r="L36" s="87"/>
      <c r="O36" s="89"/>
    </row>
    <row r="37" spans="1:15" s="3" customFormat="1">
      <c r="A37" s="22" t="s">
        <v>97</v>
      </c>
      <c r="B37" s="83" t="s">
        <v>232</v>
      </c>
      <c r="C37" s="18" t="s">
        <v>218</v>
      </c>
      <c r="D37" s="84">
        <v>8</v>
      </c>
      <c r="E37" s="86">
        <f t="shared" si="0"/>
        <v>5152.4271844660188</v>
      </c>
      <c r="F37" s="92">
        <v>5307</v>
      </c>
      <c r="G37" s="93">
        <f t="shared" si="1"/>
        <v>42456</v>
      </c>
      <c r="H37" s="93">
        <f t="shared" si="2"/>
        <v>7642.0799999999945</v>
      </c>
      <c r="I37" s="93">
        <f t="shared" si="3"/>
        <v>50098.079999999994</v>
      </c>
      <c r="J37" s="91">
        <v>42369</v>
      </c>
      <c r="L37" s="87"/>
      <c r="O37" s="89"/>
    </row>
    <row r="38" spans="1:15" s="3" customFormat="1">
      <c r="A38" s="22" t="s">
        <v>98</v>
      </c>
      <c r="B38" s="83" t="s">
        <v>194</v>
      </c>
      <c r="C38" s="18" t="s">
        <v>218</v>
      </c>
      <c r="D38" s="84">
        <v>4</v>
      </c>
      <c r="E38" s="86">
        <f t="shared" si="0"/>
        <v>275.24271844660194</v>
      </c>
      <c r="F38" s="92">
        <v>283.5</v>
      </c>
      <c r="G38" s="93">
        <f t="shared" si="1"/>
        <v>1134</v>
      </c>
      <c r="H38" s="93">
        <f t="shared" si="2"/>
        <v>204.11999999999989</v>
      </c>
      <c r="I38" s="93">
        <f t="shared" si="3"/>
        <v>1338.12</v>
      </c>
      <c r="J38" s="91">
        <v>42369</v>
      </c>
      <c r="L38" s="87"/>
      <c r="O38" s="89"/>
    </row>
    <row r="39" spans="1:15" s="3" customFormat="1">
      <c r="A39" s="22" t="s">
        <v>99</v>
      </c>
      <c r="B39" s="83" t="s">
        <v>233</v>
      </c>
      <c r="C39" s="18" t="s">
        <v>218</v>
      </c>
      <c r="D39" s="84">
        <v>1</v>
      </c>
      <c r="E39" s="86">
        <f t="shared" si="0"/>
        <v>4853.3980582524273</v>
      </c>
      <c r="F39" s="92">
        <v>4999</v>
      </c>
      <c r="G39" s="93">
        <f t="shared" si="1"/>
        <v>4999</v>
      </c>
      <c r="H39" s="93">
        <f t="shared" si="2"/>
        <v>899.81999999999971</v>
      </c>
      <c r="I39" s="93">
        <f t="shared" si="3"/>
        <v>5898.82</v>
      </c>
      <c r="J39" s="91">
        <v>42369</v>
      </c>
      <c r="L39" s="87"/>
      <c r="O39" s="89"/>
    </row>
    <row r="40" spans="1:15" s="3" customFormat="1" ht="48.75" customHeight="1">
      <c r="A40" s="22" t="s">
        <v>100</v>
      </c>
      <c r="B40" s="83" t="s">
        <v>234</v>
      </c>
      <c r="C40" s="18" t="s">
        <v>218</v>
      </c>
      <c r="D40" s="84">
        <v>1</v>
      </c>
      <c r="E40" s="86">
        <f t="shared" si="0"/>
        <v>11722.330097087379</v>
      </c>
      <c r="F40" s="92">
        <v>12074</v>
      </c>
      <c r="G40" s="93">
        <f t="shared" si="1"/>
        <v>12074</v>
      </c>
      <c r="H40" s="93">
        <f t="shared" si="2"/>
        <v>2173.3199999999997</v>
      </c>
      <c r="I40" s="93">
        <f t="shared" si="3"/>
        <v>14247.32</v>
      </c>
      <c r="J40" s="91">
        <v>42369</v>
      </c>
      <c r="L40" s="87"/>
      <c r="O40" s="89"/>
    </row>
    <row r="41" spans="1:15" s="3" customFormat="1">
      <c r="A41" s="22" t="s">
        <v>101</v>
      </c>
      <c r="B41" s="83" t="s">
        <v>195</v>
      </c>
      <c r="C41" s="18" t="s">
        <v>218</v>
      </c>
      <c r="D41" s="84">
        <v>6</v>
      </c>
      <c r="E41" s="86">
        <f t="shared" si="0"/>
        <v>1261.1650485436892</v>
      </c>
      <c r="F41" s="92">
        <v>1299</v>
      </c>
      <c r="G41" s="93">
        <f t="shared" si="1"/>
        <v>7794</v>
      </c>
      <c r="H41" s="93">
        <f t="shared" si="2"/>
        <v>1402.92</v>
      </c>
      <c r="I41" s="93">
        <f t="shared" si="3"/>
        <v>9196.92</v>
      </c>
      <c r="J41" s="91">
        <v>42369</v>
      </c>
      <c r="L41" s="87"/>
      <c r="O41" s="89"/>
    </row>
    <row r="42" spans="1:15" s="3" customFormat="1">
      <c r="A42" s="22" t="s">
        <v>102</v>
      </c>
      <c r="B42" s="83" t="s">
        <v>196</v>
      </c>
      <c r="C42" s="18" t="s">
        <v>218</v>
      </c>
      <c r="D42" s="84">
        <v>1</v>
      </c>
      <c r="E42" s="86">
        <f t="shared" si="0"/>
        <v>2717.9611650485435</v>
      </c>
      <c r="F42" s="92">
        <v>2799.5</v>
      </c>
      <c r="G42" s="93">
        <f t="shared" si="1"/>
        <v>2799.5</v>
      </c>
      <c r="H42" s="93">
        <f t="shared" si="2"/>
        <v>503.90999999999985</v>
      </c>
      <c r="I42" s="93">
        <f t="shared" si="3"/>
        <v>3303.41</v>
      </c>
      <c r="J42" s="91">
        <v>42369</v>
      </c>
      <c r="L42" s="87"/>
      <c r="O42" s="89"/>
    </row>
    <row r="43" spans="1:15" s="3" customFormat="1">
      <c r="A43" s="22" t="s">
        <v>103</v>
      </c>
      <c r="B43" s="83" t="s">
        <v>235</v>
      </c>
      <c r="C43" s="18" t="s">
        <v>218</v>
      </c>
      <c r="D43" s="84">
        <v>8</v>
      </c>
      <c r="E43" s="86">
        <f t="shared" si="0"/>
        <v>323.30097087378641</v>
      </c>
      <c r="F43" s="92">
        <v>333</v>
      </c>
      <c r="G43" s="93">
        <f t="shared" si="1"/>
        <v>2664</v>
      </c>
      <c r="H43" s="93">
        <f t="shared" si="2"/>
        <v>479.52</v>
      </c>
      <c r="I43" s="93">
        <f t="shared" si="3"/>
        <v>3143.52</v>
      </c>
      <c r="J43" s="91">
        <v>42369</v>
      </c>
      <c r="L43" s="87"/>
      <c r="O43" s="89"/>
    </row>
    <row r="44" spans="1:15" s="3" customFormat="1">
      <c r="A44" s="22" t="s">
        <v>104</v>
      </c>
      <c r="B44" s="83" t="s">
        <v>186</v>
      </c>
      <c r="C44" s="18" t="s">
        <v>218</v>
      </c>
      <c r="D44" s="84">
        <v>5</v>
      </c>
      <c r="E44" s="86">
        <f t="shared" si="0"/>
        <v>284.46601941747571</v>
      </c>
      <c r="F44" s="92">
        <v>293</v>
      </c>
      <c r="G44" s="93">
        <f t="shared" si="1"/>
        <v>1465</v>
      </c>
      <c r="H44" s="93">
        <f t="shared" si="2"/>
        <v>263.69999999999982</v>
      </c>
      <c r="I44" s="93">
        <f t="shared" si="3"/>
        <v>1728.6999999999998</v>
      </c>
      <c r="J44" s="91">
        <v>42369</v>
      </c>
      <c r="L44" s="87"/>
      <c r="O44" s="89"/>
    </row>
    <row r="45" spans="1:15" s="3" customFormat="1">
      <c r="A45" s="22" t="s">
        <v>105</v>
      </c>
      <c r="B45" s="83" t="s">
        <v>236</v>
      </c>
      <c r="C45" s="18" t="s">
        <v>218</v>
      </c>
      <c r="D45" s="84">
        <v>1</v>
      </c>
      <c r="E45" s="86">
        <f t="shared" si="0"/>
        <v>3265.5339805825242</v>
      </c>
      <c r="F45" s="92">
        <v>3363.5</v>
      </c>
      <c r="G45" s="93">
        <f t="shared" si="1"/>
        <v>3363.5</v>
      </c>
      <c r="H45" s="93">
        <f t="shared" si="2"/>
        <v>605.42999999999984</v>
      </c>
      <c r="I45" s="93">
        <f t="shared" si="3"/>
        <v>3968.93</v>
      </c>
      <c r="J45" s="91">
        <v>42369</v>
      </c>
      <c r="L45" s="87"/>
      <c r="O45" s="89"/>
    </row>
    <row r="46" spans="1:15" s="3" customFormat="1">
      <c r="A46" s="22" t="s">
        <v>106</v>
      </c>
      <c r="B46" s="83" t="s">
        <v>186</v>
      </c>
      <c r="C46" s="18" t="s">
        <v>218</v>
      </c>
      <c r="D46" s="84">
        <v>5</v>
      </c>
      <c r="E46" s="86">
        <f t="shared" si="0"/>
        <v>290.77669902912618</v>
      </c>
      <c r="F46" s="92">
        <v>299.5</v>
      </c>
      <c r="G46" s="93">
        <f t="shared" si="1"/>
        <v>1497.5</v>
      </c>
      <c r="H46" s="93">
        <f t="shared" si="2"/>
        <v>269.54999999999995</v>
      </c>
      <c r="I46" s="93">
        <f t="shared" si="3"/>
        <v>1767.05</v>
      </c>
      <c r="J46" s="91">
        <v>42369</v>
      </c>
      <c r="L46" s="87"/>
      <c r="O46" s="89"/>
    </row>
    <row r="47" spans="1:15" s="3" customFormat="1">
      <c r="A47" s="22" t="s">
        <v>107</v>
      </c>
      <c r="B47" s="83" t="s">
        <v>236</v>
      </c>
      <c r="C47" s="18" t="s">
        <v>218</v>
      </c>
      <c r="D47" s="84">
        <v>1</v>
      </c>
      <c r="E47" s="86">
        <f t="shared" si="0"/>
        <v>3266.019417475728</v>
      </c>
      <c r="F47" s="92">
        <v>3364</v>
      </c>
      <c r="G47" s="93">
        <f t="shared" si="1"/>
        <v>3364</v>
      </c>
      <c r="H47" s="93">
        <f t="shared" si="2"/>
        <v>605.52</v>
      </c>
      <c r="I47" s="93">
        <f t="shared" si="3"/>
        <v>3969.52</v>
      </c>
      <c r="J47" s="91">
        <v>42369</v>
      </c>
      <c r="L47" s="87"/>
      <c r="O47" s="89"/>
    </row>
    <row r="48" spans="1:15" s="3" customFormat="1">
      <c r="A48" s="22" t="s">
        <v>108</v>
      </c>
      <c r="B48" s="83" t="s">
        <v>186</v>
      </c>
      <c r="C48" s="18" t="s">
        <v>218</v>
      </c>
      <c r="D48" s="84">
        <v>5</v>
      </c>
      <c r="E48" s="86">
        <f t="shared" si="0"/>
        <v>340.77669902912618</v>
      </c>
      <c r="F48" s="92">
        <v>351</v>
      </c>
      <c r="G48" s="93">
        <f t="shared" si="1"/>
        <v>1755</v>
      </c>
      <c r="H48" s="93">
        <f t="shared" si="2"/>
        <v>315.90000000000009</v>
      </c>
      <c r="I48" s="93">
        <f t="shared" si="3"/>
        <v>2070.9</v>
      </c>
      <c r="J48" s="91">
        <v>42369</v>
      </c>
      <c r="L48" s="87"/>
      <c r="O48" s="89"/>
    </row>
    <row r="49" spans="1:15" s="3" customFormat="1">
      <c r="A49" s="22" t="s">
        <v>109</v>
      </c>
      <c r="B49" s="83" t="s">
        <v>236</v>
      </c>
      <c r="C49" s="18" t="s">
        <v>218</v>
      </c>
      <c r="D49" s="84">
        <v>1</v>
      </c>
      <c r="E49" s="86">
        <f t="shared" si="0"/>
        <v>3266.019417475728</v>
      </c>
      <c r="F49" s="92">
        <v>3364</v>
      </c>
      <c r="G49" s="93">
        <f t="shared" si="1"/>
        <v>3364</v>
      </c>
      <c r="H49" s="93">
        <f t="shared" si="2"/>
        <v>605.52</v>
      </c>
      <c r="I49" s="93">
        <f t="shared" si="3"/>
        <v>3969.52</v>
      </c>
      <c r="J49" s="91">
        <v>42369</v>
      </c>
      <c r="L49" s="87"/>
      <c r="O49" s="89"/>
    </row>
    <row r="50" spans="1:15" s="3" customFormat="1">
      <c r="A50" s="22" t="s">
        <v>110</v>
      </c>
      <c r="B50" s="90" t="s">
        <v>197</v>
      </c>
      <c r="C50" s="18" t="s">
        <v>218</v>
      </c>
      <c r="D50" s="84">
        <v>21</v>
      </c>
      <c r="E50" s="86">
        <f t="shared" si="0"/>
        <v>1155.3398058252426</v>
      </c>
      <c r="F50" s="92">
        <v>1190</v>
      </c>
      <c r="G50" s="92">
        <f t="shared" si="1"/>
        <v>24990</v>
      </c>
      <c r="H50" s="92">
        <f t="shared" si="2"/>
        <v>4498.1999999999971</v>
      </c>
      <c r="I50" s="92">
        <f t="shared" si="3"/>
        <v>29488.199999999997</v>
      </c>
      <c r="J50" s="91">
        <v>42369</v>
      </c>
      <c r="L50" s="87"/>
      <c r="O50" s="89"/>
    </row>
    <row r="51" spans="1:15" s="3" customFormat="1">
      <c r="A51" s="22" t="s">
        <v>111</v>
      </c>
      <c r="B51" s="83" t="s">
        <v>237</v>
      </c>
      <c r="C51" s="18" t="s">
        <v>218</v>
      </c>
      <c r="D51" s="84">
        <v>2</v>
      </c>
      <c r="E51" s="86">
        <f t="shared" si="0"/>
        <v>235335.92233009709</v>
      </c>
      <c r="F51" s="92">
        <v>242396</v>
      </c>
      <c r="G51" s="93">
        <f t="shared" si="1"/>
        <v>484792</v>
      </c>
      <c r="H51" s="93">
        <f t="shared" si="2"/>
        <v>87262.559999999939</v>
      </c>
      <c r="I51" s="93">
        <f t="shared" si="3"/>
        <v>572054.55999999994</v>
      </c>
      <c r="J51" s="91">
        <v>42369</v>
      </c>
      <c r="L51" s="87"/>
      <c r="O51" s="89"/>
    </row>
    <row r="52" spans="1:15" s="3" customFormat="1">
      <c r="A52" s="22" t="s">
        <v>112</v>
      </c>
      <c r="B52" s="90" t="s">
        <v>238</v>
      </c>
      <c r="C52" s="18" t="s">
        <v>218</v>
      </c>
      <c r="D52" s="84">
        <v>1</v>
      </c>
      <c r="E52" s="86">
        <f t="shared" si="0"/>
        <v>17368.932038834952</v>
      </c>
      <c r="F52" s="92">
        <v>17890</v>
      </c>
      <c r="G52" s="92">
        <f t="shared" si="1"/>
        <v>17890</v>
      </c>
      <c r="H52" s="92">
        <f t="shared" si="2"/>
        <v>3220.1999999999971</v>
      </c>
      <c r="I52" s="92">
        <f t="shared" si="3"/>
        <v>21110.199999999997</v>
      </c>
      <c r="J52" s="91">
        <v>42369</v>
      </c>
      <c r="L52" s="87"/>
      <c r="O52" s="89"/>
    </row>
    <row r="53" spans="1:15" s="3" customFormat="1" ht="54" customHeight="1">
      <c r="A53" s="22" t="s">
        <v>113</v>
      </c>
      <c r="B53" s="83" t="s">
        <v>239</v>
      </c>
      <c r="C53" s="18" t="s">
        <v>218</v>
      </c>
      <c r="D53" s="84">
        <v>1</v>
      </c>
      <c r="E53" s="86">
        <f t="shared" si="0"/>
        <v>11722.330097087379</v>
      </c>
      <c r="F53" s="92">
        <v>12074</v>
      </c>
      <c r="G53" s="93">
        <f t="shared" si="1"/>
        <v>12074</v>
      </c>
      <c r="H53" s="93">
        <f t="shared" si="2"/>
        <v>2173.3199999999997</v>
      </c>
      <c r="I53" s="93">
        <f t="shared" si="3"/>
        <v>14247.32</v>
      </c>
      <c r="J53" s="91">
        <v>42369</v>
      </c>
      <c r="L53" s="87"/>
      <c r="O53" s="89"/>
    </row>
    <row r="54" spans="1:15" s="3" customFormat="1">
      <c r="A54" s="22" t="s">
        <v>114</v>
      </c>
      <c r="B54" s="83" t="s">
        <v>186</v>
      </c>
      <c r="C54" s="18" t="s">
        <v>218</v>
      </c>
      <c r="D54" s="84">
        <v>2</v>
      </c>
      <c r="E54" s="86">
        <f t="shared" si="0"/>
        <v>300</v>
      </c>
      <c r="F54" s="92">
        <v>309</v>
      </c>
      <c r="G54" s="93">
        <f t="shared" si="1"/>
        <v>618</v>
      </c>
      <c r="H54" s="93">
        <f t="shared" si="2"/>
        <v>111.24000000000001</v>
      </c>
      <c r="I54" s="93">
        <f t="shared" si="3"/>
        <v>729.24</v>
      </c>
      <c r="J54" s="91">
        <v>42369</v>
      </c>
      <c r="L54" s="87"/>
      <c r="O54" s="89"/>
    </row>
    <row r="55" spans="1:15" s="3" customFormat="1">
      <c r="A55" s="22" t="s">
        <v>115</v>
      </c>
      <c r="B55" s="83" t="s">
        <v>240</v>
      </c>
      <c r="C55" s="18" t="s">
        <v>218</v>
      </c>
      <c r="D55" s="84">
        <v>3</v>
      </c>
      <c r="E55" s="86">
        <f t="shared" si="0"/>
        <v>10472.815533980582</v>
      </c>
      <c r="F55" s="92">
        <v>10787</v>
      </c>
      <c r="G55" s="93">
        <f t="shared" si="1"/>
        <v>32361</v>
      </c>
      <c r="H55" s="93">
        <f t="shared" si="2"/>
        <v>5824.9799999999959</v>
      </c>
      <c r="I55" s="93">
        <f t="shared" si="3"/>
        <v>38185.979999999996</v>
      </c>
      <c r="J55" s="91">
        <v>42369</v>
      </c>
      <c r="L55" s="87"/>
      <c r="O55" s="89"/>
    </row>
    <row r="56" spans="1:15" s="3" customFormat="1">
      <c r="A56" s="22" t="s">
        <v>116</v>
      </c>
      <c r="B56" s="83" t="s">
        <v>241</v>
      </c>
      <c r="C56" s="18" t="s">
        <v>218</v>
      </c>
      <c r="D56" s="84">
        <v>2</v>
      </c>
      <c r="E56" s="86">
        <f t="shared" si="0"/>
        <v>553.39805825242718</v>
      </c>
      <c r="F56" s="92">
        <v>570</v>
      </c>
      <c r="G56" s="93">
        <f t="shared" si="1"/>
        <v>1140</v>
      </c>
      <c r="H56" s="93">
        <f t="shared" si="2"/>
        <v>205.19999999999982</v>
      </c>
      <c r="I56" s="93">
        <f t="shared" si="3"/>
        <v>1345.1999999999998</v>
      </c>
      <c r="J56" s="91">
        <v>42369</v>
      </c>
      <c r="L56" s="87"/>
      <c r="O56" s="89"/>
    </row>
    <row r="57" spans="1:15" s="3" customFormat="1">
      <c r="A57" s="22" t="s">
        <v>117</v>
      </c>
      <c r="B57" s="83" t="s">
        <v>242</v>
      </c>
      <c r="C57" s="18" t="s">
        <v>218</v>
      </c>
      <c r="D57" s="84">
        <v>60</v>
      </c>
      <c r="E57" s="86">
        <f t="shared" si="0"/>
        <v>157.52427184466018</v>
      </c>
      <c r="F57" s="92">
        <v>162.25</v>
      </c>
      <c r="G57" s="93">
        <f t="shared" si="1"/>
        <v>9735</v>
      </c>
      <c r="H57" s="93">
        <f t="shared" si="2"/>
        <v>1752.2999999999993</v>
      </c>
      <c r="I57" s="93">
        <f t="shared" si="3"/>
        <v>11487.3</v>
      </c>
      <c r="J57" s="91">
        <v>42369</v>
      </c>
      <c r="L57" s="87"/>
      <c r="O57" s="89"/>
    </row>
    <row r="58" spans="1:15" s="3" customFormat="1">
      <c r="A58" s="22" t="s">
        <v>118</v>
      </c>
      <c r="B58" s="83" t="s">
        <v>243</v>
      </c>
      <c r="C58" s="18" t="s">
        <v>218</v>
      </c>
      <c r="D58" s="84">
        <v>2</v>
      </c>
      <c r="E58" s="86">
        <f t="shared" si="0"/>
        <v>1058.2524271844659</v>
      </c>
      <c r="F58" s="92">
        <v>1090</v>
      </c>
      <c r="G58" s="93">
        <f t="shared" si="1"/>
        <v>2180</v>
      </c>
      <c r="H58" s="93">
        <f t="shared" si="2"/>
        <v>392.40000000000009</v>
      </c>
      <c r="I58" s="93">
        <f t="shared" si="3"/>
        <v>2572.4</v>
      </c>
      <c r="J58" s="91">
        <v>42369</v>
      </c>
      <c r="L58" s="87"/>
      <c r="O58" s="89"/>
    </row>
    <row r="59" spans="1:15" s="3" customFormat="1">
      <c r="A59" s="22" t="s">
        <v>119</v>
      </c>
      <c r="B59" s="83" t="s">
        <v>244</v>
      </c>
      <c r="C59" s="18" t="s">
        <v>218</v>
      </c>
      <c r="D59" s="84">
        <v>1</v>
      </c>
      <c r="E59" s="86">
        <f t="shared" si="0"/>
        <v>611.65048543689318</v>
      </c>
      <c r="F59" s="92">
        <v>630</v>
      </c>
      <c r="G59" s="93">
        <f t="shared" si="1"/>
        <v>630</v>
      </c>
      <c r="H59" s="93">
        <f t="shared" si="2"/>
        <v>113.39999999999998</v>
      </c>
      <c r="I59" s="93">
        <f t="shared" si="3"/>
        <v>743.4</v>
      </c>
      <c r="J59" s="91">
        <v>42369</v>
      </c>
      <c r="L59" s="87"/>
      <c r="O59" s="89"/>
    </row>
    <row r="60" spans="1:15" s="3" customFormat="1">
      <c r="A60" s="22" t="s">
        <v>120</v>
      </c>
      <c r="B60" s="83" t="s">
        <v>245</v>
      </c>
      <c r="C60" s="18" t="s">
        <v>218</v>
      </c>
      <c r="D60" s="84">
        <v>6</v>
      </c>
      <c r="E60" s="86">
        <f t="shared" si="0"/>
        <v>499.02912621359224</v>
      </c>
      <c r="F60" s="92">
        <v>514</v>
      </c>
      <c r="G60" s="93">
        <f t="shared" si="1"/>
        <v>3084</v>
      </c>
      <c r="H60" s="93">
        <f t="shared" si="2"/>
        <v>555.11999999999989</v>
      </c>
      <c r="I60" s="93">
        <f t="shared" si="3"/>
        <v>3639.12</v>
      </c>
      <c r="J60" s="91">
        <v>42369</v>
      </c>
      <c r="L60" s="87"/>
      <c r="O60" s="89"/>
    </row>
    <row r="61" spans="1:15" s="3" customFormat="1" ht="31.2">
      <c r="A61" s="22" t="s">
        <v>121</v>
      </c>
      <c r="B61" s="83" t="s">
        <v>246</v>
      </c>
      <c r="C61" s="18" t="s">
        <v>218</v>
      </c>
      <c r="D61" s="84">
        <v>2</v>
      </c>
      <c r="E61" s="86">
        <f t="shared" si="0"/>
        <v>19849.514563106797</v>
      </c>
      <c r="F61" s="92">
        <v>20445</v>
      </c>
      <c r="G61" s="93">
        <f t="shared" si="1"/>
        <v>40890</v>
      </c>
      <c r="H61" s="93">
        <f t="shared" si="2"/>
        <v>7360.1999999999971</v>
      </c>
      <c r="I61" s="93">
        <f t="shared" si="3"/>
        <v>48250.2</v>
      </c>
      <c r="J61" s="91">
        <v>42369</v>
      </c>
      <c r="L61" s="87"/>
      <c r="O61" s="89"/>
    </row>
    <row r="62" spans="1:15" s="3" customFormat="1">
      <c r="A62" s="22" t="s">
        <v>122</v>
      </c>
      <c r="B62" s="83" t="s">
        <v>247</v>
      </c>
      <c r="C62" s="18" t="s">
        <v>218</v>
      </c>
      <c r="D62" s="84">
        <v>6</v>
      </c>
      <c r="E62" s="86">
        <f t="shared" si="0"/>
        <v>191.74757281553397</v>
      </c>
      <c r="F62" s="92">
        <v>197.5</v>
      </c>
      <c r="G62" s="93">
        <f t="shared" si="1"/>
        <v>1185</v>
      </c>
      <c r="H62" s="93">
        <f t="shared" si="2"/>
        <v>213.29999999999995</v>
      </c>
      <c r="I62" s="93">
        <f t="shared" si="3"/>
        <v>1398.3</v>
      </c>
      <c r="J62" s="91">
        <v>42369</v>
      </c>
      <c r="L62" s="87"/>
      <c r="O62" s="89"/>
    </row>
    <row r="63" spans="1:15" s="3" customFormat="1">
      <c r="A63" s="22" t="s">
        <v>123</v>
      </c>
      <c r="B63" s="83" t="s">
        <v>248</v>
      </c>
      <c r="C63" s="18" t="s">
        <v>218</v>
      </c>
      <c r="D63" s="84">
        <v>2</v>
      </c>
      <c r="E63" s="86">
        <f t="shared" si="0"/>
        <v>1585.9223300970875</v>
      </c>
      <c r="F63" s="92">
        <v>1633.5000000000002</v>
      </c>
      <c r="G63" s="93">
        <f t="shared" si="1"/>
        <v>3267.0000000000005</v>
      </c>
      <c r="H63" s="93">
        <f t="shared" si="2"/>
        <v>588.05999999999995</v>
      </c>
      <c r="I63" s="93">
        <f t="shared" si="3"/>
        <v>3855.0600000000004</v>
      </c>
      <c r="J63" s="91">
        <v>42369</v>
      </c>
      <c r="L63" s="87"/>
      <c r="O63" s="89"/>
    </row>
    <row r="64" spans="1:15" s="3" customFormat="1">
      <c r="A64" s="22" t="s">
        <v>124</v>
      </c>
      <c r="B64" s="83" t="s">
        <v>249</v>
      </c>
      <c r="C64" s="18" t="s">
        <v>218</v>
      </c>
      <c r="D64" s="84">
        <v>1</v>
      </c>
      <c r="E64" s="86">
        <f t="shared" si="0"/>
        <v>4530.0970873786409</v>
      </c>
      <c r="F64" s="92">
        <v>4666</v>
      </c>
      <c r="G64" s="93">
        <f t="shared" si="1"/>
        <v>4666</v>
      </c>
      <c r="H64" s="93">
        <f t="shared" si="2"/>
        <v>839.88000000000011</v>
      </c>
      <c r="I64" s="93">
        <f t="shared" si="3"/>
        <v>5505.88</v>
      </c>
      <c r="J64" s="91">
        <v>42369</v>
      </c>
      <c r="L64" s="87"/>
      <c r="O64" s="89"/>
    </row>
    <row r="65" spans="1:15" s="3" customFormat="1">
      <c r="A65" s="22" t="s">
        <v>125</v>
      </c>
      <c r="B65" s="83" t="s">
        <v>244</v>
      </c>
      <c r="C65" s="18" t="s">
        <v>218</v>
      </c>
      <c r="D65" s="84">
        <v>2</v>
      </c>
      <c r="E65" s="86">
        <f t="shared" si="0"/>
        <v>708.73786407766988</v>
      </c>
      <c r="F65" s="92">
        <v>730</v>
      </c>
      <c r="G65" s="93">
        <f t="shared" si="1"/>
        <v>1460</v>
      </c>
      <c r="H65" s="93">
        <f t="shared" si="2"/>
        <v>262.79999999999995</v>
      </c>
      <c r="I65" s="93">
        <f t="shared" si="3"/>
        <v>1722.8</v>
      </c>
      <c r="J65" s="91">
        <v>42369</v>
      </c>
      <c r="L65" s="87"/>
      <c r="O65" s="89"/>
    </row>
    <row r="66" spans="1:15" s="3" customFormat="1" ht="39" customHeight="1">
      <c r="A66" s="22" t="s">
        <v>126</v>
      </c>
      <c r="B66" s="83" t="s">
        <v>250</v>
      </c>
      <c r="C66" s="18" t="s">
        <v>218</v>
      </c>
      <c r="D66" s="84">
        <v>2</v>
      </c>
      <c r="E66" s="86">
        <f t="shared" si="0"/>
        <v>3427.1844660194174</v>
      </c>
      <c r="F66" s="92">
        <v>3530</v>
      </c>
      <c r="G66" s="93">
        <f t="shared" si="1"/>
        <v>7060</v>
      </c>
      <c r="H66" s="93">
        <f t="shared" si="2"/>
        <v>1270.7999999999993</v>
      </c>
      <c r="I66" s="93">
        <f t="shared" si="3"/>
        <v>8330.7999999999993</v>
      </c>
      <c r="J66" s="91">
        <v>42369</v>
      </c>
      <c r="L66" s="87"/>
      <c r="O66" s="89"/>
    </row>
    <row r="67" spans="1:15" s="3" customFormat="1" ht="45.75" customHeight="1">
      <c r="A67" s="22" t="s">
        <v>127</v>
      </c>
      <c r="B67" s="83" t="s">
        <v>251</v>
      </c>
      <c r="C67" s="18" t="s">
        <v>218</v>
      </c>
      <c r="D67" s="84">
        <v>4</v>
      </c>
      <c r="E67" s="86">
        <f t="shared" si="0"/>
        <v>1697.0873786407767</v>
      </c>
      <c r="F67" s="92">
        <v>1748</v>
      </c>
      <c r="G67" s="93">
        <f t="shared" si="1"/>
        <v>6992</v>
      </c>
      <c r="H67" s="93">
        <f t="shared" si="2"/>
        <v>1258.5599999999995</v>
      </c>
      <c r="I67" s="93">
        <f t="shared" si="3"/>
        <v>8250.56</v>
      </c>
      <c r="J67" s="91">
        <v>42369</v>
      </c>
      <c r="L67" s="87"/>
      <c r="O67" s="89"/>
    </row>
    <row r="68" spans="1:15" s="3" customFormat="1" ht="45" customHeight="1">
      <c r="A68" s="22" t="s">
        <v>128</v>
      </c>
      <c r="B68" s="83" t="s">
        <v>252</v>
      </c>
      <c r="C68" s="18" t="s">
        <v>218</v>
      </c>
      <c r="D68" s="84">
        <v>3</v>
      </c>
      <c r="E68" s="86">
        <f t="shared" si="0"/>
        <v>30171.844660194172</v>
      </c>
      <c r="F68" s="92">
        <v>31077</v>
      </c>
      <c r="G68" s="93">
        <f t="shared" si="1"/>
        <v>93231</v>
      </c>
      <c r="H68" s="93">
        <f t="shared" si="2"/>
        <v>16781.579999999987</v>
      </c>
      <c r="I68" s="93">
        <f t="shared" si="3"/>
        <v>110012.57999999999</v>
      </c>
      <c r="J68" s="91">
        <v>42369</v>
      </c>
      <c r="L68" s="87"/>
      <c r="O68" s="89"/>
    </row>
    <row r="69" spans="1:15" s="3" customFormat="1">
      <c r="A69" s="22" t="s">
        <v>129</v>
      </c>
      <c r="B69" s="83" t="s">
        <v>249</v>
      </c>
      <c r="C69" s="18" t="s">
        <v>218</v>
      </c>
      <c r="D69" s="84">
        <v>1</v>
      </c>
      <c r="E69" s="86">
        <f t="shared" si="0"/>
        <v>2746.6019417475727</v>
      </c>
      <c r="F69" s="92">
        <v>2829</v>
      </c>
      <c r="G69" s="93">
        <f t="shared" si="1"/>
        <v>2829</v>
      </c>
      <c r="H69" s="93">
        <f t="shared" si="2"/>
        <v>509.2199999999998</v>
      </c>
      <c r="I69" s="93">
        <f t="shared" si="3"/>
        <v>3338.22</v>
      </c>
      <c r="J69" s="91">
        <v>42369</v>
      </c>
      <c r="L69" s="87"/>
      <c r="O69" s="89"/>
    </row>
    <row r="70" spans="1:15" s="3" customFormat="1" ht="28.5" customHeight="1">
      <c r="A70" s="22" t="s">
        <v>130</v>
      </c>
      <c r="B70" s="83" t="s">
        <v>253</v>
      </c>
      <c r="C70" s="18" t="s">
        <v>218</v>
      </c>
      <c r="D70" s="84">
        <v>1</v>
      </c>
      <c r="E70" s="86">
        <f t="shared" si="0"/>
        <v>34781.553398058255</v>
      </c>
      <c r="F70" s="92">
        <v>35825</v>
      </c>
      <c r="G70" s="93">
        <f t="shared" si="1"/>
        <v>35825</v>
      </c>
      <c r="H70" s="93">
        <f t="shared" si="2"/>
        <v>6448.5</v>
      </c>
      <c r="I70" s="93">
        <f t="shared" si="3"/>
        <v>42273.5</v>
      </c>
      <c r="J70" s="91">
        <v>42369</v>
      </c>
      <c r="L70" s="87"/>
      <c r="O70" s="89"/>
    </row>
    <row r="71" spans="1:15" s="3" customFormat="1">
      <c r="A71" s="22" t="s">
        <v>131</v>
      </c>
      <c r="B71" s="83" t="s">
        <v>198</v>
      </c>
      <c r="C71" s="18" t="s">
        <v>218</v>
      </c>
      <c r="D71" s="84">
        <v>6</v>
      </c>
      <c r="E71" s="86">
        <f t="shared" si="0"/>
        <v>3159.2233009708739</v>
      </c>
      <c r="F71" s="92">
        <v>3254</v>
      </c>
      <c r="G71" s="93">
        <f t="shared" si="1"/>
        <v>19524</v>
      </c>
      <c r="H71" s="93">
        <f t="shared" si="2"/>
        <v>3514.3199999999997</v>
      </c>
      <c r="I71" s="93">
        <f t="shared" si="3"/>
        <v>23038.32</v>
      </c>
      <c r="J71" s="91">
        <v>42369</v>
      </c>
      <c r="L71" s="87"/>
      <c r="O71" s="89"/>
    </row>
    <row r="72" spans="1:15" s="3" customFormat="1" ht="31.2">
      <c r="A72" s="22" t="s">
        <v>132</v>
      </c>
      <c r="B72" s="83" t="s">
        <v>199</v>
      </c>
      <c r="C72" s="18" t="s">
        <v>218</v>
      </c>
      <c r="D72" s="84">
        <v>1</v>
      </c>
      <c r="E72" s="86">
        <f t="shared" si="0"/>
        <v>26363.106796116503</v>
      </c>
      <c r="F72" s="92">
        <v>27154</v>
      </c>
      <c r="G72" s="93">
        <f t="shared" si="1"/>
        <v>27154</v>
      </c>
      <c r="H72" s="93">
        <f t="shared" si="2"/>
        <v>4887.7199999999975</v>
      </c>
      <c r="I72" s="93">
        <f t="shared" si="3"/>
        <v>32041.719999999998</v>
      </c>
      <c r="J72" s="91">
        <v>42369</v>
      </c>
      <c r="L72" s="87"/>
      <c r="O72" s="89"/>
    </row>
    <row r="73" spans="1:15" s="3" customFormat="1">
      <c r="A73" s="22" t="s">
        <v>133</v>
      </c>
      <c r="B73" s="83" t="s">
        <v>254</v>
      </c>
      <c r="C73" s="18" t="s">
        <v>218</v>
      </c>
      <c r="D73" s="84">
        <v>4</v>
      </c>
      <c r="E73" s="86">
        <f t="shared" ref="E73:E119" si="4">F73/1.03</f>
        <v>6749.5145631067971</v>
      </c>
      <c r="F73" s="92">
        <v>6952.0000000000009</v>
      </c>
      <c r="G73" s="93">
        <f t="shared" ref="G73:G119" si="5">F73*D73</f>
        <v>27808.000000000004</v>
      </c>
      <c r="H73" s="93">
        <f t="shared" ref="H73:H119" si="6">I73-G73</f>
        <v>5005.4399999999987</v>
      </c>
      <c r="I73" s="93">
        <f t="shared" ref="I73:I119" si="7">G73*1.18</f>
        <v>32813.440000000002</v>
      </c>
      <c r="J73" s="91">
        <v>42369</v>
      </c>
      <c r="L73" s="87"/>
      <c r="O73" s="89"/>
    </row>
    <row r="74" spans="1:15" s="3" customFormat="1">
      <c r="A74" s="22" t="s">
        <v>134</v>
      </c>
      <c r="B74" s="83" t="s">
        <v>200</v>
      </c>
      <c r="C74" s="18" t="s">
        <v>218</v>
      </c>
      <c r="D74" s="84">
        <v>17</v>
      </c>
      <c r="E74" s="86">
        <f t="shared" si="4"/>
        <v>3291.2621359223299</v>
      </c>
      <c r="F74" s="92">
        <v>3390</v>
      </c>
      <c r="G74" s="93">
        <f t="shared" si="5"/>
        <v>57630</v>
      </c>
      <c r="H74" s="93">
        <f t="shared" si="6"/>
        <v>10373.399999999994</v>
      </c>
      <c r="I74" s="93">
        <f t="shared" si="7"/>
        <v>68003.399999999994</v>
      </c>
      <c r="J74" s="91">
        <v>42369</v>
      </c>
      <c r="L74" s="87"/>
      <c r="O74" s="89"/>
    </row>
    <row r="75" spans="1:15" s="3" customFormat="1">
      <c r="A75" s="22" t="s">
        <v>135</v>
      </c>
      <c r="B75" s="83" t="s">
        <v>255</v>
      </c>
      <c r="C75" s="18" t="s">
        <v>218</v>
      </c>
      <c r="D75" s="84">
        <v>2</v>
      </c>
      <c r="E75" s="86">
        <f t="shared" si="4"/>
        <v>1772.3300970873786</v>
      </c>
      <c r="F75" s="92">
        <v>1825.5</v>
      </c>
      <c r="G75" s="93">
        <f t="shared" si="5"/>
        <v>3651</v>
      </c>
      <c r="H75" s="93">
        <f t="shared" si="6"/>
        <v>657.17999999999938</v>
      </c>
      <c r="I75" s="93">
        <f t="shared" si="7"/>
        <v>4308.1799999999994</v>
      </c>
      <c r="J75" s="91">
        <v>42369</v>
      </c>
      <c r="L75" s="87"/>
      <c r="O75" s="89"/>
    </row>
    <row r="76" spans="1:15" s="3" customFormat="1">
      <c r="A76" s="22" t="s">
        <v>136</v>
      </c>
      <c r="B76" s="83" t="s">
        <v>201</v>
      </c>
      <c r="C76" s="18" t="s">
        <v>218</v>
      </c>
      <c r="D76" s="84">
        <v>1</v>
      </c>
      <c r="E76" s="86">
        <f t="shared" si="4"/>
        <v>898.05825242718447</v>
      </c>
      <c r="F76" s="92">
        <v>925</v>
      </c>
      <c r="G76" s="93">
        <f t="shared" si="5"/>
        <v>925</v>
      </c>
      <c r="H76" s="93">
        <f t="shared" si="6"/>
        <v>166.5</v>
      </c>
      <c r="I76" s="93">
        <f t="shared" si="7"/>
        <v>1091.5</v>
      </c>
      <c r="J76" s="91">
        <v>42369</v>
      </c>
      <c r="L76" s="87"/>
      <c r="O76" s="89"/>
    </row>
    <row r="77" spans="1:15" s="3" customFormat="1">
      <c r="A77" s="22" t="s">
        <v>137</v>
      </c>
      <c r="B77" s="83" t="s">
        <v>256</v>
      </c>
      <c r="C77" s="18" t="s">
        <v>218</v>
      </c>
      <c r="D77" s="84">
        <v>5</v>
      </c>
      <c r="E77" s="86">
        <f t="shared" si="4"/>
        <v>343.68932038834953</v>
      </c>
      <c r="F77" s="92">
        <v>354</v>
      </c>
      <c r="G77" s="93">
        <f t="shared" si="5"/>
        <v>1770</v>
      </c>
      <c r="H77" s="93">
        <f t="shared" si="6"/>
        <v>318.59999999999991</v>
      </c>
      <c r="I77" s="93">
        <f t="shared" si="7"/>
        <v>2088.6</v>
      </c>
      <c r="J77" s="91">
        <v>42369</v>
      </c>
      <c r="L77" s="87"/>
      <c r="O77" s="89"/>
    </row>
    <row r="78" spans="1:15" s="3" customFormat="1">
      <c r="A78" s="22" t="s">
        <v>138</v>
      </c>
      <c r="B78" s="83" t="s">
        <v>202</v>
      </c>
      <c r="C78" s="18" t="s">
        <v>218</v>
      </c>
      <c r="D78" s="84">
        <v>3</v>
      </c>
      <c r="E78" s="86">
        <f t="shared" si="4"/>
        <v>225.24271844660194</v>
      </c>
      <c r="F78" s="92">
        <v>232</v>
      </c>
      <c r="G78" s="93">
        <f t="shared" si="5"/>
        <v>696</v>
      </c>
      <c r="H78" s="93">
        <f t="shared" si="6"/>
        <v>125.27999999999997</v>
      </c>
      <c r="I78" s="93">
        <f t="shared" si="7"/>
        <v>821.28</v>
      </c>
      <c r="J78" s="91">
        <v>42369</v>
      </c>
      <c r="L78" s="87"/>
      <c r="O78" s="89"/>
    </row>
    <row r="79" spans="1:15" s="3" customFormat="1" ht="39.75" customHeight="1">
      <c r="A79" s="22" t="s">
        <v>139</v>
      </c>
      <c r="B79" s="83" t="s">
        <v>203</v>
      </c>
      <c r="C79" s="18" t="s">
        <v>218</v>
      </c>
      <c r="D79" s="84">
        <v>3</v>
      </c>
      <c r="E79" s="86">
        <f t="shared" si="4"/>
        <v>123.30097087378641</v>
      </c>
      <c r="F79" s="92">
        <v>127</v>
      </c>
      <c r="G79" s="93">
        <f t="shared" si="5"/>
        <v>381</v>
      </c>
      <c r="H79" s="93">
        <f t="shared" si="6"/>
        <v>68.579999999999984</v>
      </c>
      <c r="I79" s="93">
        <f t="shared" si="7"/>
        <v>449.58</v>
      </c>
      <c r="J79" s="91">
        <v>42369</v>
      </c>
      <c r="L79" s="87"/>
      <c r="O79" s="89"/>
    </row>
    <row r="80" spans="1:15" s="3" customFormat="1">
      <c r="A80" s="22" t="s">
        <v>140</v>
      </c>
      <c r="B80" s="83" t="s">
        <v>204</v>
      </c>
      <c r="C80" s="18" t="s">
        <v>218</v>
      </c>
      <c r="D80" s="84">
        <v>3</v>
      </c>
      <c r="E80" s="86">
        <f t="shared" si="4"/>
        <v>274.75728155339806</v>
      </c>
      <c r="F80" s="92">
        <v>283</v>
      </c>
      <c r="G80" s="93">
        <f t="shared" si="5"/>
        <v>849</v>
      </c>
      <c r="H80" s="93">
        <f t="shared" si="6"/>
        <v>152.81999999999994</v>
      </c>
      <c r="I80" s="93">
        <f t="shared" si="7"/>
        <v>1001.8199999999999</v>
      </c>
      <c r="J80" s="91">
        <v>42369</v>
      </c>
      <c r="L80" s="87"/>
      <c r="O80" s="89"/>
    </row>
    <row r="81" spans="1:15" s="3" customFormat="1">
      <c r="A81" s="22" t="s">
        <v>141</v>
      </c>
      <c r="B81" s="83" t="s">
        <v>257</v>
      </c>
      <c r="C81" s="18" t="s">
        <v>218</v>
      </c>
      <c r="D81" s="84">
        <v>2</v>
      </c>
      <c r="E81" s="86">
        <f t="shared" si="4"/>
        <v>209.70873786407768</v>
      </c>
      <c r="F81" s="92">
        <v>216</v>
      </c>
      <c r="G81" s="93">
        <f t="shared" si="5"/>
        <v>432</v>
      </c>
      <c r="H81" s="93">
        <f t="shared" si="6"/>
        <v>77.759999999999991</v>
      </c>
      <c r="I81" s="93">
        <f t="shared" si="7"/>
        <v>509.76</v>
      </c>
      <c r="J81" s="91">
        <v>42369</v>
      </c>
      <c r="L81" s="87"/>
      <c r="O81" s="89"/>
    </row>
    <row r="82" spans="1:15" s="3" customFormat="1" ht="41.25" customHeight="1">
      <c r="A82" s="22" t="s">
        <v>142</v>
      </c>
      <c r="B82" s="83" t="s">
        <v>258</v>
      </c>
      <c r="C82" s="18" t="s">
        <v>218</v>
      </c>
      <c r="D82" s="84">
        <v>3</v>
      </c>
      <c r="E82" s="86">
        <f t="shared" si="4"/>
        <v>13011.650485436892</v>
      </c>
      <c r="F82" s="92">
        <v>13402</v>
      </c>
      <c r="G82" s="93">
        <f t="shared" si="5"/>
        <v>40206</v>
      </c>
      <c r="H82" s="93">
        <f t="shared" si="6"/>
        <v>7237.0799999999945</v>
      </c>
      <c r="I82" s="93">
        <f t="shared" si="7"/>
        <v>47443.079999999994</v>
      </c>
      <c r="J82" s="91">
        <v>42369</v>
      </c>
      <c r="L82" s="87"/>
      <c r="O82" s="89"/>
    </row>
    <row r="83" spans="1:15" s="3" customFormat="1">
      <c r="A83" s="22" t="s">
        <v>143</v>
      </c>
      <c r="B83" s="83" t="s">
        <v>259</v>
      </c>
      <c r="C83" s="18" t="s">
        <v>218</v>
      </c>
      <c r="D83" s="84">
        <v>2</v>
      </c>
      <c r="E83" s="86">
        <f t="shared" si="4"/>
        <v>1155.3398058252426</v>
      </c>
      <c r="F83" s="92">
        <v>1190</v>
      </c>
      <c r="G83" s="93">
        <f t="shared" si="5"/>
        <v>2380</v>
      </c>
      <c r="H83" s="93">
        <f t="shared" si="6"/>
        <v>428.39999999999964</v>
      </c>
      <c r="I83" s="93">
        <f t="shared" si="7"/>
        <v>2808.3999999999996</v>
      </c>
      <c r="J83" s="91">
        <v>42369</v>
      </c>
      <c r="L83" s="87"/>
      <c r="O83" s="89"/>
    </row>
    <row r="84" spans="1:15" s="3" customFormat="1">
      <c r="A84" s="22" t="s">
        <v>144</v>
      </c>
      <c r="B84" s="83" t="s">
        <v>205</v>
      </c>
      <c r="C84" s="18" t="s">
        <v>218</v>
      </c>
      <c r="D84" s="84">
        <v>22</v>
      </c>
      <c r="E84" s="86">
        <f t="shared" si="4"/>
        <v>185.4368932038835</v>
      </c>
      <c r="F84" s="92">
        <v>191</v>
      </c>
      <c r="G84" s="93">
        <f t="shared" si="5"/>
        <v>4202</v>
      </c>
      <c r="H84" s="93">
        <f t="shared" si="6"/>
        <v>756.35999999999967</v>
      </c>
      <c r="I84" s="93">
        <f t="shared" si="7"/>
        <v>4958.3599999999997</v>
      </c>
      <c r="J84" s="91">
        <v>42369</v>
      </c>
      <c r="L84" s="87"/>
      <c r="O84" s="89"/>
    </row>
    <row r="85" spans="1:15" s="3" customFormat="1">
      <c r="A85" s="22" t="s">
        <v>145</v>
      </c>
      <c r="B85" s="83" t="s">
        <v>260</v>
      </c>
      <c r="C85" s="18" t="s">
        <v>218</v>
      </c>
      <c r="D85" s="84">
        <v>4</v>
      </c>
      <c r="E85" s="86">
        <f t="shared" si="4"/>
        <v>118.44660194174757</v>
      </c>
      <c r="F85" s="92">
        <v>122</v>
      </c>
      <c r="G85" s="93">
        <f t="shared" si="5"/>
        <v>488</v>
      </c>
      <c r="H85" s="93">
        <f t="shared" si="6"/>
        <v>87.839999999999918</v>
      </c>
      <c r="I85" s="93">
        <f t="shared" si="7"/>
        <v>575.83999999999992</v>
      </c>
      <c r="J85" s="91">
        <v>42369</v>
      </c>
      <c r="L85" s="87"/>
      <c r="O85" s="89"/>
    </row>
    <row r="86" spans="1:15" s="3" customFormat="1">
      <c r="A86" s="22" t="s">
        <v>146</v>
      </c>
      <c r="B86" s="83" t="s">
        <v>261</v>
      </c>
      <c r="C86" s="18" t="s">
        <v>218</v>
      </c>
      <c r="D86" s="84">
        <v>2</v>
      </c>
      <c r="E86" s="86">
        <f t="shared" si="4"/>
        <v>311.65048543689318</v>
      </c>
      <c r="F86" s="92">
        <v>321</v>
      </c>
      <c r="G86" s="93">
        <f t="shared" si="5"/>
        <v>642</v>
      </c>
      <c r="H86" s="93">
        <f t="shared" si="6"/>
        <v>115.55999999999995</v>
      </c>
      <c r="I86" s="93">
        <f t="shared" si="7"/>
        <v>757.56</v>
      </c>
      <c r="J86" s="91">
        <v>42369</v>
      </c>
      <c r="L86" s="87"/>
      <c r="O86" s="89"/>
    </row>
    <row r="87" spans="1:15" s="3" customFormat="1">
      <c r="A87" s="22" t="s">
        <v>147</v>
      </c>
      <c r="B87" s="83" t="s">
        <v>206</v>
      </c>
      <c r="C87" s="18" t="s">
        <v>218</v>
      </c>
      <c r="D87" s="84">
        <v>2</v>
      </c>
      <c r="E87" s="86">
        <f t="shared" si="4"/>
        <v>126.21359223300971</v>
      </c>
      <c r="F87" s="92">
        <v>130</v>
      </c>
      <c r="G87" s="93">
        <f t="shared" si="5"/>
        <v>260</v>
      </c>
      <c r="H87" s="93">
        <f t="shared" si="6"/>
        <v>46.800000000000011</v>
      </c>
      <c r="I87" s="93">
        <f t="shared" si="7"/>
        <v>306.8</v>
      </c>
      <c r="J87" s="91">
        <v>42369</v>
      </c>
      <c r="L87" s="87"/>
      <c r="O87" s="89"/>
    </row>
    <row r="88" spans="1:15" s="3" customFormat="1">
      <c r="A88" s="22" t="s">
        <v>148</v>
      </c>
      <c r="B88" s="83" t="s">
        <v>262</v>
      </c>
      <c r="C88" s="18" t="s">
        <v>218</v>
      </c>
      <c r="D88" s="84">
        <v>5</v>
      </c>
      <c r="E88" s="86">
        <f t="shared" si="4"/>
        <v>3123.7864077669906</v>
      </c>
      <c r="F88" s="92">
        <v>3217.5000000000005</v>
      </c>
      <c r="G88" s="93">
        <f t="shared" si="5"/>
        <v>16087.500000000002</v>
      </c>
      <c r="H88" s="93">
        <f t="shared" si="6"/>
        <v>2895.7499999999982</v>
      </c>
      <c r="I88" s="93">
        <f t="shared" si="7"/>
        <v>18983.25</v>
      </c>
      <c r="J88" s="91">
        <v>42369</v>
      </c>
      <c r="L88" s="87"/>
      <c r="O88" s="89"/>
    </row>
    <row r="89" spans="1:15" s="3" customFormat="1">
      <c r="A89" s="22" t="s">
        <v>149</v>
      </c>
      <c r="B89" s="83" t="s">
        <v>263</v>
      </c>
      <c r="C89" s="18" t="s">
        <v>218</v>
      </c>
      <c r="D89" s="84">
        <v>2</v>
      </c>
      <c r="E89" s="86">
        <f t="shared" si="4"/>
        <v>1355.8252427184466</v>
      </c>
      <c r="F89" s="92">
        <v>1396.5</v>
      </c>
      <c r="G89" s="93">
        <f t="shared" si="5"/>
        <v>2793</v>
      </c>
      <c r="H89" s="93">
        <f t="shared" si="6"/>
        <v>502.73999999999978</v>
      </c>
      <c r="I89" s="93">
        <f t="shared" si="7"/>
        <v>3295.74</v>
      </c>
      <c r="J89" s="91">
        <v>42369</v>
      </c>
      <c r="L89" s="87"/>
      <c r="O89" s="89"/>
    </row>
    <row r="90" spans="1:15" s="3" customFormat="1">
      <c r="A90" s="22" t="s">
        <v>150</v>
      </c>
      <c r="B90" s="83" t="s">
        <v>207</v>
      </c>
      <c r="C90" s="18" t="s">
        <v>218</v>
      </c>
      <c r="D90" s="84">
        <v>2</v>
      </c>
      <c r="E90" s="86">
        <f t="shared" si="4"/>
        <v>1403.3980582524271</v>
      </c>
      <c r="F90" s="92">
        <v>1445.5</v>
      </c>
      <c r="G90" s="93">
        <f t="shared" si="5"/>
        <v>2891</v>
      </c>
      <c r="H90" s="93">
        <f t="shared" si="6"/>
        <v>520.37999999999965</v>
      </c>
      <c r="I90" s="93">
        <f t="shared" si="7"/>
        <v>3411.3799999999997</v>
      </c>
      <c r="J90" s="91">
        <v>42369</v>
      </c>
      <c r="L90" s="87"/>
      <c r="O90" s="89"/>
    </row>
    <row r="91" spans="1:15" s="3" customFormat="1">
      <c r="A91" s="22" t="s">
        <v>151</v>
      </c>
      <c r="B91" s="83" t="s">
        <v>208</v>
      </c>
      <c r="C91" s="18" t="s">
        <v>218</v>
      </c>
      <c r="D91" s="84">
        <v>2</v>
      </c>
      <c r="E91" s="86">
        <f t="shared" si="4"/>
        <v>997.57281553398059</v>
      </c>
      <c r="F91" s="92">
        <v>1027.5</v>
      </c>
      <c r="G91" s="93">
        <f t="shared" si="5"/>
        <v>2055</v>
      </c>
      <c r="H91" s="93">
        <f t="shared" si="6"/>
        <v>369.90000000000009</v>
      </c>
      <c r="I91" s="93">
        <f t="shared" si="7"/>
        <v>2424.9</v>
      </c>
      <c r="J91" s="91">
        <v>42369</v>
      </c>
      <c r="L91" s="87"/>
      <c r="O91" s="89"/>
    </row>
    <row r="92" spans="1:15" s="3" customFormat="1">
      <c r="A92" s="22" t="s">
        <v>152</v>
      </c>
      <c r="B92" s="83" t="s">
        <v>209</v>
      </c>
      <c r="C92" s="18" t="s">
        <v>218</v>
      </c>
      <c r="D92" s="84">
        <v>2</v>
      </c>
      <c r="E92" s="86">
        <f t="shared" si="4"/>
        <v>350.97087378640776</v>
      </c>
      <c r="F92" s="92">
        <v>361.5</v>
      </c>
      <c r="G92" s="93">
        <f t="shared" si="5"/>
        <v>723</v>
      </c>
      <c r="H92" s="93">
        <f t="shared" si="6"/>
        <v>130.13999999999999</v>
      </c>
      <c r="I92" s="93">
        <f t="shared" si="7"/>
        <v>853.14</v>
      </c>
      <c r="J92" s="91">
        <v>42369</v>
      </c>
      <c r="L92" s="87"/>
      <c r="O92" s="89"/>
    </row>
    <row r="93" spans="1:15" s="3" customFormat="1">
      <c r="A93" s="22" t="s">
        <v>153</v>
      </c>
      <c r="B93" s="83" t="s">
        <v>210</v>
      </c>
      <c r="C93" s="18" t="s">
        <v>218</v>
      </c>
      <c r="D93" s="84">
        <v>1</v>
      </c>
      <c r="E93" s="86">
        <f t="shared" si="4"/>
        <v>370.873786407767</v>
      </c>
      <c r="F93" s="92">
        <v>382</v>
      </c>
      <c r="G93" s="93">
        <f t="shared" si="5"/>
        <v>382</v>
      </c>
      <c r="H93" s="93">
        <f t="shared" si="6"/>
        <v>68.759999999999991</v>
      </c>
      <c r="I93" s="93">
        <f t="shared" si="7"/>
        <v>450.76</v>
      </c>
      <c r="J93" s="91">
        <v>42369</v>
      </c>
      <c r="L93" s="87"/>
      <c r="O93" s="89"/>
    </row>
    <row r="94" spans="1:15" s="3" customFormat="1">
      <c r="A94" s="22" t="s">
        <v>154</v>
      </c>
      <c r="B94" s="83" t="s">
        <v>264</v>
      </c>
      <c r="C94" s="18" t="s">
        <v>218</v>
      </c>
      <c r="D94" s="84">
        <v>3</v>
      </c>
      <c r="E94" s="86">
        <f t="shared" si="4"/>
        <v>152.91262135922329</v>
      </c>
      <c r="F94" s="92">
        <v>157.5</v>
      </c>
      <c r="G94" s="93">
        <f t="shared" si="5"/>
        <v>472.5</v>
      </c>
      <c r="H94" s="93">
        <f t="shared" si="6"/>
        <v>85.049999999999955</v>
      </c>
      <c r="I94" s="93">
        <f t="shared" si="7"/>
        <v>557.54999999999995</v>
      </c>
      <c r="J94" s="91">
        <v>42369</v>
      </c>
      <c r="L94" s="87"/>
      <c r="O94" s="89"/>
    </row>
    <row r="95" spans="1:15" s="3" customFormat="1">
      <c r="A95" s="22" t="s">
        <v>155</v>
      </c>
      <c r="B95" s="83" t="s">
        <v>210</v>
      </c>
      <c r="C95" s="18" t="s">
        <v>218</v>
      </c>
      <c r="D95" s="84">
        <v>3</v>
      </c>
      <c r="E95" s="86">
        <f t="shared" si="4"/>
        <v>370.873786407767</v>
      </c>
      <c r="F95" s="92">
        <v>382</v>
      </c>
      <c r="G95" s="93">
        <f t="shared" si="5"/>
        <v>1146</v>
      </c>
      <c r="H95" s="93">
        <f t="shared" si="6"/>
        <v>206.27999999999997</v>
      </c>
      <c r="I95" s="93">
        <f t="shared" si="7"/>
        <v>1352.28</v>
      </c>
      <c r="J95" s="91">
        <v>42369</v>
      </c>
      <c r="L95" s="87"/>
      <c r="O95" s="89"/>
    </row>
    <row r="96" spans="1:15" s="3" customFormat="1">
      <c r="A96" s="22" t="s">
        <v>156</v>
      </c>
      <c r="B96" s="83" t="s">
        <v>211</v>
      </c>
      <c r="C96" s="18" t="s">
        <v>218</v>
      </c>
      <c r="D96" s="84">
        <v>2</v>
      </c>
      <c r="E96" s="86">
        <f t="shared" si="4"/>
        <v>311.1650485436893</v>
      </c>
      <c r="F96" s="92">
        <v>320.5</v>
      </c>
      <c r="G96" s="93">
        <f t="shared" si="5"/>
        <v>641</v>
      </c>
      <c r="H96" s="93">
        <f t="shared" si="6"/>
        <v>115.38</v>
      </c>
      <c r="I96" s="93">
        <f t="shared" si="7"/>
        <v>756.38</v>
      </c>
      <c r="J96" s="91">
        <v>42369</v>
      </c>
      <c r="L96" s="87"/>
      <c r="O96" s="89"/>
    </row>
    <row r="97" spans="1:15" s="3" customFormat="1">
      <c r="A97" s="22" t="s">
        <v>157</v>
      </c>
      <c r="B97" s="83" t="s">
        <v>212</v>
      </c>
      <c r="C97" s="18" t="s">
        <v>218</v>
      </c>
      <c r="D97" s="84">
        <v>2</v>
      </c>
      <c r="E97" s="86">
        <f t="shared" si="4"/>
        <v>1159.2233009708737</v>
      </c>
      <c r="F97" s="92">
        <v>1194</v>
      </c>
      <c r="G97" s="93">
        <f t="shared" si="5"/>
        <v>2388</v>
      </c>
      <c r="H97" s="93">
        <f t="shared" si="6"/>
        <v>429.83999999999969</v>
      </c>
      <c r="I97" s="93">
        <f t="shared" si="7"/>
        <v>2817.8399999999997</v>
      </c>
      <c r="J97" s="91">
        <v>42369</v>
      </c>
      <c r="L97" s="87"/>
      <c r="O97" s="89"/>
    </row>
    <row r="98" spans="1:15" s="3" customFormat="1">
      <c r="A98" s="22" t="s">
        <v>158</v>
      </c>
      <c r="B98" s="83" t="s">
        <v>213</v>
      </c>
      <c r="C98" s="18" t="s">
        <v>218</v>
      </c>
      <c r="D98" s="84">
        <v>8</v>
      </c>
      <c r="E98" s="86">
        <f t="shared" si="4"/>
        <v>118.44660194174757</v>
      </c>
      <c r="F98" s="92">
        <v>122</v>
      </c>
      <c r="G98" s="93">
        <f t="shared" si="5"/>
        <v>976</v>
      </c>
      <c r="H98" s="93">
        <f t="shared" si="6"/>
        <v>175.67999999999984</v>
      </c>
      <c r="I98" s="93">
        <f t="shared" si="7"/>
        <v>1151.6799999999998</v>
      </c>
      <c r="J98" s="91">
        <v>42369</v>
      </c>
      <c r="L98" s="87"/>
      <c r="O98" s="89"/>
    </row>
    <row r="99" spans="1:15" s="3" customFormat="1">
      <c r="A99" s="22" t="s">
        <v>159</v>
      </c>
      <c r="B99" s="83" t="s">
        <v>265</v>
      </c>
      <c r="C99" s="18" t="s">
        <v>218</v>
      </c>
      <c r="D99" s="84">
        <v>4</v>
      </c>
      <c r="E99" s="86">
        <f t="shared" si="4"/>
        <v>1603.8834951456311</v>
      </c>
      <c r="F99" s="92">
        <v>1652</v>
      </c>
      <c r="G99" s="93">
        <f t="shared" si="5"/>
        <v>6608</v>
      </c>
      <c r="H99" s="93">
        <f t="shared" si="6"/>
        <v>1189.4399999999996</v>
      </c>
      <c r="I99" s="93">
        <f t="shared" si="7"/>
        <v>7797.44</v>
      </c>
      <c r="J99" s="91">
        <v>42369</v>
      </c>
      <c r="L99" s="87"/>
      <c r="O99" s="89"/>
    </row>
    <row r="100" spans="1:15" s="3" customFormat="1">
      <c r="A100" s="22" t="s">
        <v>160</v>
      </c>
      <c r="B100" s="83" t="s">
        <v>266</v>
      </c>
      <c r="C100" s="18" t="s">
        <v>218</v>
      </c>
      <c r="D100" s="84">
        <v>1</v>
      </c>
      <c r="E100" s="86">
        <f t="shared" si="4"/>
        <v>204.85436893203882</v>
      </c>
      <c r="F100" s="92">
        <v>211</v>
      </c>
      <c r="G100" s="93">
        <f t="shared" si="5"/>
        <v>211</v>
      </c>
      <c r="H100" s="93">
        <f t="shared" si="6"/>
        <v>37.97999999999999</v>
      </c>
      <c r="I100" s="93">
        <f t="shared" si="7"/>
        <v>248.98</v>
      </c>
      <c r="J100" s="91">
        <v>42369</v>
      </c>
      <c r="L100" s="87"/>
      <c r="O100" s="89"/>
    </row>
    <row r="101" spans="1:15" s="3" customFormat="1">
      <c r="A101" s="22" t="s">
        <v>161</v>
      </c>
      <c r="B101" s="83" t="s">
        <v>267</v>
      </c>
      <c r="C101" s="18" t="s">
        <v>218</v>
      </c>
      <c r="D101" s="84">
        <v>2</v>
      </c>
      <c r="E101" s="86">
        <f t="shared" si="4"/>
        <v>126.21359223300971</v>
      </c>
      <c r="F101" s="92">
        <v>130</v>
      </c>
      <c r="G101" s="93">
        <f t="shared" si="5"/>
        <v>260</v>
      </c>
      <c r="H101" s="93">
        <f t="shared" si="6"/>
        <v>46.800000000000011</v>
      </c>
      <c r="I101" s="93">
        <f t="shared" si="7"/>
        <v>306.8</v>
      </c>
      <c r="J101" s="91">
        <v>42369</v>
      </c>
      <c r="L101" s="87"/>
      <c r="O101" s="89"/>
    </row>
    <row r="102" spans="1:15" s="3" customFormat="1">
      <c r="A102" s="22" t="s">
        <v>162</v>
      </c>
      <c r="B102" s="83" t="s">
        <v>214</v>
      </c>
      <c r="C102" s="18" t="s">
        <v>218</v>
      </c>
      <c r="D102" s="84">
        <v>2</v>
      </c>
      <c r="E102" s="86">
        <f t="shared" si="4"/>
        <v>667.47572815533977</v>
      </c>
      <c r="F102" s="92">
        <v>687.5</v>
      </c>
      <c r="G102" s="93">
        <f t="shared" si="5"/>
        <v>1375</v>
      </c>
      <c r="H102" s="93">
        <f t="shared" si="6"/>
        <v>247.5</v>
      </c>
      <c r="I102" s="93">
        <f t="shared" si="7"/>
        <v>1622.5</v>
      </c>
      <c r="J102" s="91">
        <v>42369</v>
      </c>
      <c r="L102" s="87"/>
      <c r="O102" s="89"/>
    </row>
    <row r="103" spans="1:15" s="3" customFormat="1">
      <c r="A103" s="22" t="s">
        <v>163</v>
      </c>
      <c r="B103" s="83" t="s">
        <v>215</v>
      </c>
      <c r="C103" s="18" t="s">
        <v>218</v>
      </c>
      <c r="D103" s="84">
        <v>2</v>
      </c>
      <c r="E103" s="86">
        <f t="shared" si="4"/>
        <v>5445.1456310679614</v>
      </c>
      <c r="F103" s="92">
        <v>5608.5</v>
      </c>
      <c r="G103" s="93">
        <f t="shared" si="5"/>
        <v>11217</v>
      </c>
      <c r="H103" s="93">
        <f t="shared" si="6"/>
        <v>2019.0599999999995</v>
      </c>
      <c r="I103" s="93">
        <f t="shared" si="7"/>
        <v>13236.06</v>
      </c>
      <c r="J103" s="91">
        <v>42369</v>
      </c>
      <c r="L103" s="87"/>
      <c r="O103" s="89"/>
    </row>
    <row r="104" spans="1:15" s="3" customFormat="1">
      <c r="A104" s="22" t="s">
        <v>164</v>
      </c>
      <c r="B104" s="83" t="s">
        <v>268</v>
      </c>
      <c r="C104" s="18" t="s">
        <v>218</v>
      </c>
      <c r="D104" s="84">
        <v>2</v>
      </c>
      <c r="E104" s="86">
        <f t="shared" si="4"/>
        <v>2016.9902912621358</v>
      </c>
      <c r="F104" s="92">
        <v>2077.5</v>
      </c>
      <c r="G104" s="93">
        <f t="shared" si="5"/>
        <v>4155</v>
      </c>
      <c r="H104" s="93">
        <f t="shared" si="6"/>
        <v>747.89999999999964</v>
      </c>
      <c r="I104" s="93">
        <f t="shared" si="7"/>
        <v>4902.8999999999996</v>
      </c>
      <c r="J104" s="91">
        <v>42369</v>
      </c>
      <c r="L104" s="87"/>
      <c r="O104" s="89"/>
    </row>
    <row r="105" spans="1:15" s="3" customFormat="1">
      <c r="A105" s="22" t="s">
        <v>165</v>
      </c>
      <c r="B105" s="83" t="s">
        <v>269</v>
      </c>
      <c r="C105" s="18" t="s">
        <v>218</v>
      </c>
      <c r="D105" s="84">
        <v>1</v>
      </c>
      <c r="E105" s="86">
        <f t="shared" si="4"/>
        <v>1151.4563106796115</v>
      </c>
      <c r="F105" s="92">
        <v>1186</v>
      </c>
      <c r="G105" s="93">
        <f t="shared" si="5"/>
        <v>1186</v>
      </c>
      <c r="H105" s="93">
        <f t="shared" si="6"/>
        <v>213.48000000000002</v>
      </c>
      <c r="I105" s="93">
        <f t="shared" si="7"/>
        <v>1399.48</v>
      </c>
      <c r="J105" s="91">
        <v>42369</v>
      </c>
      <c r="L105" s="87"/>
      <c r="O105" s="89"/>
    </row>
    <row r="106" spans="1:15" s="3" customFormat="1">
      <c r="A106" s="22" t="s">
        <v>166</v>
      </c>
      <c r="B106" s="83" t="s">
        <v>267</v>
      </c>
      <c r="C106" s="18" t="s">
        <v>218</v>
      </c>
      <c r="D106" s="84">
        <v>2</v>
      </c>
      <c r="E106" s="86">
        <f t="shared" si="4"/>
        <v>124.27184466019418</v>
      </c>
      <c r="F106" s="92">
        <v>128</v>
      </c>
      <c r="G106" s="93">
        <f t="shared" si="5"/>
        <v>256</v>
      </c>
      <c r="H106" s="93">
        <f t="shared" si="6"/>
        <v>46.079999999999984</v>
      </c>
      <c r="I106" s="93">
        <f t="shared" si="7"/>
        <v>302.08</v>
      </c>
      <c r="J106" s="91">
        <v>42369</v>
      </c>
      <c r="L106" s="87"/>
      <c r="O106" s="89"/>
    </row>
    <row r="107" spans="1:15" s="3" customFormat="1">
      <c r="A107" s="22" t="s">
        <v>167</v>
      </c>
      <c r="B107" s="83" t="s">
        <v>270</v>
      </c>
      <c r="C107" s="18" t="s">
        <v>218</v>
      </c>
      <c r="D107" s="84">
        <v>1</v>
      </c>
      <c r="E107" s="86">
        <f t="shared" si="4"/>
        <v>7250.4854368932038</v>
      </c>
      <c r="F107" s="92">
        <v>7468</v>
      </c>
      <c r="G107" s="93">
        <f t="shared" si="5"/>
        <v>7468</v>
      </c>
      <c r="H107" s="93">
        <f t="shared" si="6"/>
        <v>1344.2399999999998</v>
      </c>
      <c r="I107" s="93">
        <f t="shared" si="7"/>
        <v>8812.24</v>
      </c>
      <c r="J107" s="91">
        <v>42369</v>
      </c>
      <c r="L107" s="87"/>
      <c r="O107" s="89"/>
    </row>
    <row r="108" spans="1:15" s="3" customFormat="1" ht="46.5" customHeight="1">
      <c r="A108" s="22" t="s">
        <v>168</v>
      </c>
      <c r="B108" s="83" t="s">
        <v>271</v>
      </c>
      <c r="C108" s="18" t="s">
        <v>218</v>
      </c>
      <c r="D108" s="84">
        <v>2</v>
      </c>
      <c r="E108" s="86">
        <f t="shared" si="4"/>
        <v>5722.3300970873788</v>
      </c>
      <c r="F108" s="92">
        <v>5894</v>
      </c>
      <c r="G108" s="93">
        <f t="shared" si="5"/>
        <v>11788</v>
      </c>
      <c r="H108" s="93">
        <f t="shared" si="6"/>
        <v>2121.84</v>
      </c>
      <c r="I108" s="93">
        <f t="shared" si="7"/>
        <v>13909.84</v>
      </c>
      <c r="J108" s="91">
        <v>42369</v>
      </c>
      <c r="L108" s="87"/>
      <c r="O108" s="89"/>
    </row>
    <row r="109" spans="1:15" s="3" customFormat="1" ht="60" customHeight="1">
      <c r="A109" s="22" t="s">
        <v>169</v>
      </c>
      <c r="B109" s="83" t="s">
        <v>272</v>
      </c>
      <c r="C109" s="18" t="s">
        <v>218</v>
      </c>
      <c r="D109" s="84">
        <v>1</v>
      </c>
      <c r="E109" s="86">
        <f t="shared" si="4"/>
        <v>3375.7281553398057</v>
      </c>
      <c r="F109" s="92">
        <v>3477</v>
      </c>
      <c r="G109" s="93">
        <f t="shared" si="5"/>
        <v>3477</v>
      </c>
      <c r="H109" s="93">
        <f t="shared" si="6"/>
        <v>625.85999999999967</v>
      </c>
      <c r="I109" s="93">
        <f t="shared" si="7"/>
        <v>4102.8599999999997</v>
      </c>
      <c r="J109" s="91">
        <v>42369</v>
      </c>
      <c r="L109" s="87"/>
      <c r="O109" s="89"/>
    </row>
    <row r="110" spans="1:15" s="3" customFormat="1">
      <c r="A110" s="22" t="s">
        <v>170</v>
      </c>
      <c r="B110" s="83" t="s">
        <v>216</v>
      </c>
      <c r="C110" s="18" t="s">
        <v>218</v>
      </c>
      <c r="D110" s="84">
        <v>1</v>
      </c>
      <c r="E110" s="86">
        <f t="shared" si="4"/>
        <v>2135.4368932038833</v>
      </c>
      <c r="F110" s="92">
        <v>2199.5</v>
      </c>
      <c r="G110" s="93">
        <f t="shared" si="5"/>
        <v>2199.5</v>
      </c>
      <c r="H110" s="93">
        <f t="shared" si="6"/>
        <v>395.90999999999985</v>
      </c>
      <c r="I110" s="93">
        <f t="shared" si="7"/>
        <v>2595.41</v>
      </c>
      <c r="J110" s="91">
        <v>42369</v>
      </c>
      <c r="L110" s="87"/>
      <c r="O110" s="89"/>
    </row>
    <row r="111" spans="1:15" s="3" customFormat="1" ht="59.25" customHeight="1">
      <c r="A111" s="22" t="s">
        <v>171</v>
      </c>
      <c r="B111" s="83" t="s">
        <v>273</v>
      </c>
      <c r="C111" s="18" t="s">
        <v>218</v>
      </c>
      <c r="D111" s="84">
        <v>1</v>
      </c>
      <c r="E111" s="86">
        <f t="shared" si="4"/>
        <v>1810.1941747572816</v>
      </c>
      <c r="F111" s="92">
        <v>1864.5000000000002</v>
      </c>
      <c r="G111" s="93">
        <f t="shared" si="5"/>
        <v>1864.5000000000002</v>
      </c>
      <c r="H111" s="93">
        <f t="shared" si="6"/>
        <v>335.6099999999999</v>
      </c>
      <c r="I111" s="93">
        <f t="shared" si="7"/>
        <v>2200.11</v>
      </c>
      <c r="J111" s="91">
        <v>42369</v>
      </c>
      <c r="L111" s="87"/>
      <c r="O111" s="89"/>
    </row>
    <row r="112" spans="1:15" s="3" customFormat="1">
      <c r="A112" s="22" t="s">
        <v>172</v>
      </c>
      <c r="B112" s="83" t="s">
        <v>217</v>
      </c>
      <c r="C112" s="18" t="s">
        <v>218</v>
      </c>
      <c r="D112" s="84">
        <v>1</v>
      </c>
      <c r="E112" s="86">
        <f t="shared" si="4"/>
        <v>249.51456310679612</v>
      </c>
      <c r="F112" s="92">
        <v>257</v>
      </c>
      <c r="G112" s="93">
        <f t="shared" si="5"/>
        <v>257</v>
      </c>
      <c r="H112" s="93">
        <f t="shared" si="6"/>
        <v>46.259999999999991</v>
      </c>
      <c r="I112" s="93">
        <f t="shared" si="7"/>
        <v>303.26</v>
      </c>
      <c r="J112" s="91">
        <v>42369</v>
      </c>
      <c r="L112" s="87"/>
      <c r="O112" s="89"/>
    </row>
    <row r="113" spans="1:15" s="3" customFormat="1">
      <c r="A113" s="22" t="s">
        <v>173</v>
      </c>
      <c r="B113" s="83" t="s">
        <v>274</v>
      </c>
      <c r="C113" s="18" t="s">
        <v>218</v>
      </c>
      <c r="D113" s="84">
        <v>1</v>
      </c>
      <c r="E113" s="86">
        <f t="shared" si="4"/>
        <v>106.79611650485438</v>
      </c>
      <c r="F113" s="92">
        <v>110.00000000000001</v>
      </c>
      <c r="G113" s="93">
        <f t="shared" si="5"/>
        <v>110.00000000000001</v>
      </c>
      <c r="H113" s="93">
        <f t="shared" si="6"/>
        <v>19.799999999999997</v>
      </c>
      <c r="I113" s="93">
        <f t="shared" si="7"/>
        <v>129.80000000000001</v>
      </c>
      <c r="J113" s="91">
        <v>42369</v>
      </c>
      <c r="L113" s="87"/>
      <c r="O113" s="89"/>
    </row>
    <row r="114" spans="1:15" s="3" customFormat="1">
      <c r="A114" s="22" t="s">
        <v>174</v>
      </c>
      <c r="B114" s="83" t="s">
        <v>275</v>
      </c>
      <c r="C114" s="18" t="s">
        <v>218</v>
      </c>
      <c r="D114" s="84">
        <v>7</v>
      </c>
      <c r="E114" s="86">
        <f t="shared" si="4"/>
        <v>812.62135922330094</v>
      </c>
      <c r="F114" s="92">
        <v>837</v>
      </c>
      <c r="G114" s="93">
        <f t="shared" si="5"/>
        <v>5859</v>
      </c>
      <c r="H114" s="93">
        <f t="shared" si="6"/>
        <v>1054.6199999999999</v>
      </c>
      <c r="I114" s="93">
        <f t="shared" si="7"/>
        <v>6913.62</v>
      </c>
      <c r="J114" s="91">
        <v>42369</v>
      </c>
      <c r="L114" s="87"/>
      <c r="O114" s="89"/>
    </row>
    <row r="115" spans="1:15" s="3" customFormat="1">
      <c r="A115" s="22" t="s">
        <v>175</v>
      </c>
      <c r="B115" s="83" t="s">
        <v>276</v>
      </c>
      <c r="C115" s="18" t="s">
        <v>218</v>
      </c>
      <c r="D115" s="84">
        <v>2</v>
      </c>
      <c r="E115" s="86">
        <f t="shared" si="4"/>
        <v>1068.4466019417475</v>
      </c>
      <c r="F115" s="92">
        <v>1100.5</v>
      </c>
      <c r="G115" s="93">
        <f t="shared" si="5"/>
        <v>2201</v>
      </c>
      <c r="H115" s="93">
        <f t="shared" si="6"/>
        <v>396.17999999999984</v>
      </c>
      <c r="I115" s="93">
        <f t="shared" si="7"/>
        <v>2597.1799999999998</v>
      </c>
      <c r="J115" s="91">
        <v>42369</v>
      </c>
      <c r="L115" s="87"/>
      <c r="O115" s="89"/>
    </row>
    <row r="116" spans="1:15" s="3" customFormat="1">
      <c r="A116" s="22" t="s">
        <v>176</v>
      </c>
      <c r="B116" s="83" t="s">
        <v>186</v>
      </c>
      <c r="C116" s="18" t="s">
        <v>218</v>
      </c>
      <c r="D116" s="84">
        <v>4</v>
      </c>
      <c r="E116" s="86">
        <f t="shared" si="4"/>
        <v>250.97087378640776</v>
      </c>
      <c r="F116" s="92">
        <v>258.5</v>
      </c>
      <c r="G116" s="93">
        <f t="shared" si="5"/>
        <v>1034</v>
      </c>
      <c r="H116" s="93">
        <f t="shared" si="6"/>
        <v>186.11999999999989</v>
      </c>
      <c r="I116" s="93">
        <f t="shared" si="7"/>
        <v>1220.1199999999999</v>
      </c>
      <c r="J116" s="91">
        <v>42369</v>
      </c>
      <c r="L116" s="87"/>
      <c r="O116" s="89"/>
    </row>
    <row r="117" spans="1:15" s="3" customFormat="1">
      <c r="A117" s="22" t="s">
        <v>177</v>
      </c>
      <c r="B117" s="83" t="s">
        <v>277</v>
      </c>
      <c r="C117" s="18" t="s">
        <v>218</v>
      </c>
      <c r="D117" s="84">
        <v>6</v>
      </c>
      <c r="E117" s="86">
        <f t="shared" si="4"/>
        <v>126.21359223300971</v>
      </c>
      <c r="F117" s="92">
        <v>130</v>
      </c>
      <c r="G117" s="93">
        <f t="shared" si="5"/>
        <v>780</v>
      </c>
      <c r="H117" s="93">
        <f t="shared" si="6"/>
        <v>140.39999999999998</v>
      </c>
      <c r="I117" s="93">
        <f t="shared" si="7"/>
        <v>920.4</v>
      </c>
      <c r="J117" s="91">
        <v>42369</v>
      </c>
      <c r="L117" s="87"/>
      <c r="O117" s="89"/>
    </row>
    <row r="118" spans="1:15" s="3" customFormat="1">
      <c r="A118" s="22" t="s">
        <v>178</v>
      </c>
      <c r="B118" s="83" t="s">
        <v>214</v>
      </c>
      <c r="C118" s="18" t="s">
        <v>218</v>
      </c>
      <c r="D118" s="84">
        <v>6</v>
      </c>
      <c r="E118" s="86">
        <f t="shared" si="4"/>
        <v>672.33009708737859</v>
      </c>
      <c r="F118" s="92">
        <v>692.5</v>
      </c>
      <c r="G118" s="93">
        <f t="shared" si="5"/>
        <v>4155</v>
      </c>
      <c r="H118" s="93">
        <f t="shared" si="6"/>
        <v>747.89999999999964</v>
      </c>
      <c r="I118" s="93">
        <f t="shared" si="7"/>
        <v>4902.8999999999996</v>
      </c>
      <c r="J118" s="91">
        <v>42369</v>
      </c>
      <c r="L118" s="87"/>
      <c r="O118" s="89"/>
    </row>
    <row r="119" spans="1:15" s="3" customFormat="1" ht="18.600000000000001" thickBot="1">
      <c r="A119" s="22" t="s">
        <v>179</v>
      </c>
      <c r="B119" s="83" t="s">
        <v>278</v>
      </c>
      <c r="C119" s="18" t="s">
        <v>218</v>
      </c>
      <c r="D119" s="84">
        <v>1</v>
      </c>
      <c r="E119" s="86">
        <f t="shared" si="4"/>
        <v>2747.0873786407765</v>
      </c>
      <c r="F119" s="92">
        <v>2829.5</v>
      </c>
      <c r="G119" s="93">
        <f t="shared" si="5"/>
        <v>2829.5</v>
      </c>
      <c r="H119" s="93">
        <f t="shared" si="6"/>
        <v>509.30999999999995</v>
      </c>
      <c r="I119" s="93">
        <f t="shared" si="7"/>
        <v>3338.81</v>
      </c>
      <c r="J119" s="91">
        <v>42369</v>
      </c>
      <c r="L119" s="87"/>
      <c r="O119" s="89"/>
    </row>
    <row r="120" spans="1:15" s="9" customFormat="1" ht="18.600000000000001" thickBot="1">
      <c r="A120" s="74"/>
      <c r="B120" s="75" t="s">
        <v>2</v>
      </c>
      <c r="C120" s="76"/>
      <c r="D120" s="76"/>
      <c r="E120" s="77"/>
      <c r="F120" s="77"/>
      <c r="G120" s="94">
        <f>SUM(G8:G119)</f>
        <v>2651026.5</v>
      </c>
      <c r="H120" s="94">
        <f>SUM(H8:H119)</f>
        <v>477184.76999999996</v>
      </c>
      <c r="I120" s="94">
        <f>SUM(I8:I119)</f>
        <v>3128211.2699999982</v>
      </c>
      <c r="J120" s="78"/>
    </row>
    <row r="121" spans="1:15" s="9" customFormat="1">
      <c r="A121" s="79"/>
      <c r="B121" s="10"/>
      <c r="C121" s="11"/>
      <c r="D121" s="11"/>
      <c r="E121" s="80"/>
      <c r="F121" s="80"/>
      <c r="G121" s="81"/>
      <c r="H121" s="81"/>
      <c r="I121" s="81"/>
      <c r="J121" s="82"/>
    </row>
    <row r="122" spans="1:15" s="9" customFormat="1">
      <c r="A122" s="79"/>
      <c r="B122" s="10"/>
      <c r="C122" s="11"/>
      <c r="D122" s="11"/>
      <c r="E122" s="80"/>
      <c r="F122" s="80"/>
      <c r="G122" s="81"/>
      <c r="H122" s="81"/>
      <c r="I122" s="81"/>
      <c r="J122" s="82"/>
    </row>
    <row r="123" spans="1:15" s="8" customFormat="1" ht="18.75" customHeight="1">
      <c r="A123" s="13"/>
      <c r="B123" s="13"/>
      <c r="C123" s="13"/>
      <c r="D123" s="13"/>
      <c r="E123" s="13"/>
      <c r="F123" s="13"/>
      <c r="G123" s="14"/>
      <c r="H123" s="14"/>
      <c r="I123" s="14"/>
      <c r="J123" s="14"/>
    </row>
    <row r="124" spans="1:15" s="73" customFormat="1" ht="45.6" customHeight="1">
      <c r="A124" s="102" t="str">
        <f>CONCATENATE("Всего:"," Стоимость с НДС ",TRUNC(I120, 0)," (",'Формула числа прописью (с НДС)'!B4,")",", в том числе НДС 18% - ",TRUNC(H120,0)," (",'Формула числа прописью (НДС)'!B4,")")</f>
        <v>Всего: Стоимость с НДС 3128211 (Три миллиона сто двадцать восемь тысяч двести одиннадцать рублей 27 коп.), в том числе НДС 18% - 477184 (Четыреста семьдесят семь тысяч сто восемьдесят четыре рубля 77 коп.)</v>
      </c>
      <c r="B124" s="102"/>
      <c r="C124" s="102"/>
      <c r="D124" s="102"/>
      <c r="E124" s="102"/>
      <c r="F124" s="102"/>
      <c r="G124" s="102"/>
      <c r="H124" s="102"/>
      <c r="I124" s="102"/>
      <c r="J124" s="102"/>
    </row>
    <row r="125" spans="1:15">
      <c r="F125" s="12"/>
      <c r="G125" s="15"/>
    </row>
    <row r="126" spans="1:15" ht="18.75" customHeight="1">
      <c r="B126" s="100" t="s">
        <v>64</v>
      </c>
      <c r="C126" s="100"/>
      <c r="D126" s="100"/>
      <c r="E126" s="100"/>
      <c r="F126" s="100"/>
      <c r="G126" s="100"/>
      <c r="H126" s="100"/>
      <c r="I126" s="100"/>
    </row>
    <row r="127" spans="1:15" ht="37.950000000000003" customHeight="1">
      <c r="B127" s="101" t="s">
        <v>66</v>
      </c>
      <c r="C127" s="101"/>
      <c r="D127" s="101"/>
      <c r="E127" s="101"/>
      <c r="F127" s="101"/>
      <c r="G127" s="101"/>
      <c r="H127" s="67"/>
    </row>
    <row r="128" spans="1:15" ht="18.75" customHeight="1">
      <c r="B128" s="101" t="s">
        <v>65</v>
      </c>
      <c r="C128" s="101"/>
      <c r="D128" s="101"/>
      <c r="E128" s="101"/>
      <c r="F128" s="101"/>
      <c r="G128" s="101"/>
      <c r="H128" s="101"/>
      <c r="I128" s="101"/>
    </row>
    <row r="129" spans="2:10" ht="42" customHeight="1">
      <c r="B129" s="100" t="s">
        <v>280</v>
      </c>
      <c r="C129" s="100"/>
      <c r="D129" s="100"/>
      <c r="E129" s="100"/>
      <c r="F129" s="100"/>
      <c r="G129" s="100"/>
      <c r="H129" s="100"/>
      <c r="I129" s="100"/>
      <c r="J129" s="100"/>
    </row>
    <row r="130" spans="2:10">
      <c r="B130" s="68"/>
      <c r="C130" s="68"/>
      <c r="D130" s="68"/>
      <c r="E130" s="68"/>
      <c r="F130" s="69"/>
      <c r="G130" s="69"/>
      <c r="H130" s="70"/>
      <c r="I130" s="70"/>
    </row>
    <row r="131" spans="2:10">
      <c r="B131" s="72"/>
      <c r="D131" s="72"/>
      <c r="E131" s="71"/>
      <c r="F131" s="71"/>
      <c r="G131" s="71"/>
      <c r="H131" s="71"/>
      <c r="I131" s="71"/>
    </row>
    <row r="132" spans="2:10">
      <c r="D132" s="15"/>
      <c r="E132" s="16"/>
    </row>
  </sheetData>
  <protectedRanges>
    <protectedRange sqref="D131" name="Диапазон1_1_1"/>
    <protectedRange sqref="B131" name="Диапазон1_2_1"/>
  </protectedRanges>
  <autoFilter ref="A6:K120"/>
  <mergeCells count="7">
    <mergeCell ref="B129:J129"/>
    <mergeCell ref="B3:J3"/>
    <mergeCell ref="A5:J5"/>
    <mergeCell ref="B126:I126"/>
    <mergeCell ref="B128:I128"/>
    <mergeCell ref="B127:G127"/>
    <mergeCell ref="A124:J124"/>
  </mergeCells>
  <phoneticPr fontId="1" type="noConversion"/>
  <pageMargins left="0.35433070866141736" right="0.35433070866141736" top="0.19685039370078741" bottom="0.35433070866141736" header="0.19685039370078741" footer="0.43307086614173229"/>
  <pageSetup paperSize="256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S101"/>
  <sheetViews>
    <sheetView workbookViewId="0">
      <selection activeCell="G2" sqref="G2"/>
    </sheetView>
  </sheetViews>
  <sheetFormatPr defaultColWidth="8.33203125" defaultRowHeight="13.2"/>
  <cols>
    <col min="1" max="1" width="15.44140625" style="24" customWidth="1"/>
    <col min="2" max="2" width="8.109375" style="24" customWidth="1"/>
    <col min="3" max="3" width="6" style="24" customWidth="1"/>
    <col min="4" max="4" width="12.33203125" style="24" customWidth="1"/>
    <col min="5" max="5" width="20.88671875" style="24" customWidth="1"/>
    <col min="6" max="6" width="8.5546875" style="24" customWidth="1"/>
    <col min="7" max="7" width="8.33203125" style="24" customWidth="1"/>
    <col min="8" max="8" width="12" style="41" customWidth="1"/>
    <col min="9" max="9" width="9.33203125" style="24" bestFit="1" customWidth="1"/>
    <col min="10" max="12" width="8.33203125" style="24" customWidth="1"/>
    <col min="13" max="13" width="14" style="24" bestFit="1" customWidth="1"/>
    <col min="14" max="16" width="8.33203125" style="24" customWidth="1"/>
    <col min="17" max="17" width="14" style="24" bestFit="1" customWidth="1"/>
    <col min="18" max="16384" width="8.33203125" style="24"/>
  </cols>
  <sheetData>
    <row r="1" spans="1:19" ht="30" customHeight="1">
      <c r="A1" s="105" t="s">
        <v>11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9" ht="15.6">
      <c r="B2" s="25"/>
      <c r="C2" s="25"/>
      <c r="D2" s="25"/>
      <c r="E2" s="26">
        <f>детали!I120</f>
        <v>3128211.2699999982</v>
      </c>
      <c r="G2" s="27"/>
      <c r="H2" s="28"/>
    </row>
    <row r="3" spans="1:19" ht="15.6">
      <c r="A3" s="29" t="s">
        <v>12</v>
      </c>
      <c r="B3" s="30" t="str">
        <f>SUBSTITUTE(B5,F9,F10,1)</f>
        <v>Три миллиона сто двадцать восемь тысяч двести одиннадцать рублей 27 коп.</v>
      </c>
      <c r="E3" s="31"/>
      <c r="H3" s="32"/>
      <c r="I3" s="33"/>
      <c r="J3" s="32"/>
      <c r="K3" s="32"/>
      <c r="L3" s="32"/>
      <c r="M3" s="34" t="s">
        <v>13</v>
      </c>
      <c r="N3" s="106">
        <f ca="1">TODAY()</f>
        <v>42146</v>
      </c>
      <c r="O3" s="106"/>
      <c r="P3" s="33">
        <f ca="1">DAY(N3)</f>
        <v>22</v>
      </c>
      <c r="Q3" s="35" t="str">
        <f ca="1">IF(Q4&gt;7,S3,S4)</f>
        <v>мая</v>
      </c>
      <c r="R3" s="36">
        <f ca="1">YEAR(N3)</f>
        <v>2015</v>
      </c>
      <c r="S3" s="37" t="str">
        <f ca="1">IF(Q4=8,"августа",IF(Q4=9,"сентября",IF(Q4=10,"октября",IF(Q4=11,"ноября",IF(Q4=12,"декабря","не отсюда")))))</f>
        <v>не отсюда</v>
      </c>
    </row>
    <row r="4" spans="1:19">
      <c r="A4" s="29" t="s">
        <v>14</v>
      </c>
      <c r="B4" s="38" t="str">
        <f>SUBSTITUTE(B6,F9,F10,1)</f>
        <v>Три миллиона сто двадцать восемь тысяч двести одиннадцать рублей 27 коп.</v>
      </c>
      <c r="H4" s="32"/>
      <c r="I4" s="32"/>
      <c r="J4" s="32"/>
      <c r="K4" s="107" t="str">
        <f ca="1">CONCATENATE(" «  ",P3,"  »  ",Q3,"  ",R3," г.")</f>
        <v xml:space="preserve"> «  22  »  мая  2015 г.</v>
      </c>
      <c r="L4" s="107"/>
      <c r="M4" s="107"/>
      <c r="N4" s="39"/>
      <c r="O4" s="39"/>
      <c r="P4" s="32"/>
      <c r="Q4" s="35">
        <f ca="1">MONTH(N3)</f>
        <v>5</v>
      </c>
      <c r="R4" s="32"/>
      <c r="S4" s="37" t="str">
        <f ca="1">IF(Q4=1,"января",IF(Q4=2,"февраля",IF(Q4=3,"марта",IF(Q4=4,"апреля",IF(Q4=5,"мая",IF(Q4=6,"июня",IF(Q4=7,"июля","брать не отсюда")))))))</f>
        <v>мая</v>
      </c>
    </row>
    <row r="5" spans="1:19">
      <c r="A5" s="40" t="s">
        <v>15</v>
      </c>
      <c r="B5" s="38" t="str">
        <f>CONCATENATE(A8,A9,A10,A11,A12)</f>
        <v>три миллиона сто двадцать восемь тысяч двести одиннадцать рублей 27 коп.</v>
      </c>
    </row>
    <row r="6" spans="1:19" s="38" customFormat="1">
      <c r="A6" s="40" t="s">
        <v>16</v>
      </c>
      <c r="B6" s="38" t="str">
        <f>CONCATENATE(A8,A9,A10,A11,A12,B8,B9,C9)</f>
        <v>три миллиона сто двадцать восемь тысяч двести одиннадцать рублей 27 коп.</v>
      </c>
      <c r="C6" s="24"/>
      <c r="D6" s="24"/>
      <c r="E6" s="24"/>
      <c r="H6" s="42"/>
    </row>
    <row r="7" spans="1:19">
      <c r="D7" s="41"/>
      <c r="H7" s="108" t="s">
        <v>17</v>
      </c>
      <c r="I7" s="108"/>
      <c r="J7" s="108"/>
    </row>
    <row r="8" spans="1:19" ht="12.75" customHeight="1">
      <c r="A8" s="43" t="str">
        <f>CONCATENATE(IF(B15=0,"",E15),IF(B16=0,"",IF(C17&lt;20,IF(C17&lt;16,IF(C17&lt;10,E16,D17),F17),E16)),IF(B17=0,"",IF(NOT(B16=1),E17,"")),F18)</f>
        <v/>
      </c>
      <c r="D8" s="41"/>
      <c r="F8" s="44">
        <f>CODE(B6)</f>
        <v>242</v>
      </c>
      <c r="G8" s="45"/>
      <c r="H8" s="108"/>
      <c r="I8" s="108"/>
      <c r="J8" s="108"/>
    </row>
    <row r="9" spans="1:19" ht="12.75" customHeight="1">
      <c r="A9" s="46" t="str">
        <f>CONCATENATE(IF(B19=0,"",E19),IF(B20=0,"",IF(C21&lt;20,IF(C21&lt;16,IF(C21&lt;10,E20,D21),F21),E20)),IF(B21=0,"",IF(NOT(B20=1),E21,"")),F22)</f>
        <v xml:space="preserve">три миллиона </v>
      </c>
      <c r="B9" s="47"/>
      <c r="D9" s="48"/>
      <c r="F9" s="44" t="str">
        <f>CHAR(F8)</f>
        <v>т</v>
      </c>
      <c r="G9" s="45"/>
      <c r="H9" s="108"/>
      <c r="I9" s="108"/>
      <c r="J9" s="108"/>
      <c r="Q9" s="49"/>
    </row>
    <row r="10" spans="1:19" s="46" customFormat="1" ht="12.75" customHeight="1">
      <c r="A10" s="46" t="str">
        <f>CONCATENATE(IF(B23=0,"",E23),IF(B24=0,"",IF(C25&lt;20,IF(C25&lt;16,IF(C25&lt;10,E24,D25),F25),E24)),IF(B25=0,"",IF(NOT(B24=1),E25,"")),F26)</f>
        <v xml:space="preserve">сто двадцать восемь тысяч </v>
      </c>
      <c r="D10" s="50"/>
      <c r="E10" s="51"/>
      <c r="F10" s="44" t="str">
        <f>PROPER(F9)</f>
        <v>Т</v>
      </c>
      <c r="G10" s="45"/>
      <c r="H10" s="108"/>
      <c r="I10" s="108"/>
      <c r="J10" s="108"/>
    </row>
    <row r="11" spans="1:19" s="46" customFormat="1" ht="12.75" customHeight="1">
      <c r="A11" s="46" t="str">
        <f>CONCATENATE(IF(B27=0,"",E27),IF(B28=0,"",IF(C29&lt;20,IF(C29&lt;16,IF(C29&lt;10,E28,D29),F29),E28)),IF(B29=0,"",IF(NOT(B28=1),E29,"")),F30)</f>
        <v xml:space="preserve">двести одиннадцать рублей </v>
      </c>
      <c r="D11" s="50"/>
      <c r="E11" s="51"/>
      <c r="H11" s="108"/>
      <c r="I11" s="108"/>
      <c r="J11" s="108"/>
    </row>
    <row r="12" spans="1:19" s="46" customFormat="1">
      <c r="A12" s="52" t="str">
        <f>CONCATENATE(IF(C31=0,"0",C31),IF(C32=0,"0",C32)," ",F33)</f>
        <v>27 коп.</v>
      </c>
      <c r="D12" s="50"/>
      <c r="E12" s="51"/>
      <c r="M12" s="53">
        <f ca="1">TODAY()</f>
        <v>42146</v>
      </c>
    </row>
    <row r="13" spans="1:19" s="46" customFormat="1">
      <c r="A13" s="52"/>
      <c r="D13" s="54"/>
      <c r="E13" s="55">
        <f>TRUNC(E2)</f>
        <v>3128211</v>
      </c>
      <c r="F13" s="54" t="s">
        <v>18</v>
      </c>
      <c r="H13" s="50"/>
      <c r="M13" s="56"/>
    </row>
    <row r="14" spans="1:19" s="46" customFormat="1">
      <c r="A14" s="57">
        <f>TRUNC(A15/10)</f>
        <v>0</v>
      </c>
      <c r="B14" s="50"/>
      <c r="C14" s="54"/>
      <c r="H14" s="50"/>
    </row>
    <row r="15" spans="1:19" s="46" customFormat="1">
      <c r="A15" s="57">
        <f>TRUNC(A16/10)</f>
        <v>0</v>
      </c>
      <c r="B15" s="50">
        <f>TRUNC(RIGHT(A15))</f>
        <v>0</v>
      </c>
      <c r="C15" s="54">
        <f>B15</f>
        <v>0</v>
      </c>
      <c r="E15" s="58" t="str">
        <f>IF(B15=1,E43,IF(B15=2,G35,IF(B15=3,G36,IF(B15=4,G37,IF(B15=5,G38,IF(B15=6,G39,IF(B15=7,G40,IF(B15=8,G41,G42))))))))</f>
        <v xml:space="preserve">девятьсот </v>
      </c>
      <c r="H15" s="50"/>
    </row>
    <row r="16" spans="1:19" s="46" customFormat="1">
      <c r="A16" s="57">
        <f>TRUNC(A17/10)</f>
        <v>0</v>
      </c>
      <c r="B16" s="50">
        <f>TRUNC(RIGHT(A16))</f>
        <v>0</v>
      </c>
      <c r="C16" s="54">
        <f>IF(B16=1,"",B16)</f>
        <v>0</v>
      </c>
      <c r="E16" s="59" t="str">
        <f>IF(OR(C16=0,B16=1),"",IF(B16=2,E35,IF(B16=3,E36,IF(B16=4,E37,IF(B16=5,E38,IF(B16=6,E39,IF(B16=7,E40,IF(B16=8,E41,E42))))))))</f>
        <v/>
      </c>
      <c r="H16" s="50"/>
    </row>
    <row r="17" spans="1:9" s="46" customFormat="1">
      <c r="A17" s="57">
        <f>TRUNC(A19/10)</f>
        <v>0</v>
      </c>
      <c r="B17" s="50">
        <f>TRUNC(RIGHT(A17))</f>
        <v>0</v>
      </c>
      <c r="C17" s="54">
        <f>IF(B16=1,B17+10,IF(B17=0,0,B17))</f>
        <v>0</v>
      </c>
      <c r="D17" s="46" t="str">
        <f>IF(AND(C17&gt;9,C17&lt;16),IF(C17=10,D34,IF(C17=11,D35,IF(C17=12,D36,IF(C17=13,D37,IF(C17=14,D38,IF(C17=15,D39,)))))),"")</f>
        <v/>
      </c>
      <c r="E17" s="59" t="str">
        <f>IF(B17=1,A34,IF(B17=2,A35,IF(B17=3,A36,IF(B17=4,A37,IF(B17=5,A38,IF(B17=6,A39,IF(B17=7,A40,IF(B17=8,A41,A42))))))))</f>
        <v xml:space="preserve">девять </v>
      </c>
      <c r="F17" s="46" t="str">
        <f>IF(AND(C17&gt;15,C17&lt;20),IF(C17=16,D40,IF(C17=17,D41,IF(C17=18,D42,IF(C17=19,D43,)))),"")</f>
        <v/>
      </c>
      <c r="H17" s="50"/>
    </row>
    <row r="18" spans="1:9" s="46" customFormat="1">
      <c r="A18" s="57"/>
      <c r="B18" s="50"/>
      <c r="D18" s="50"/>
      <c r="E18" s="46">
        <f>B17+B16*10+B15*100</f>
        <v>0</v>
      </c>
      <c r="F18" s="46" t="str">
        <f>IF(E18=0,"",IF(B16=1,"миллиардов ",IF(B17=1,"милиард ",IF(OR(B17=2,B17=3,B17=4),"миллиарда ","милиардов "))))</f>
        <v/>
      </c>
      <c r="H18" s="50"/>
    </row>
    <row r="19" spans="1:9" s="46" customFormat="1">
      <c r="A19" s="57">
        <f>TRUNC(A20/10)</f>
        <v>0</v>
      </c>
      <c r="B19" s="50">
        <f>TRUNC(RIGHT(A19))</f>
        <v>0</v>
      </c>
      <c r="C19" s="54">
        <f>B19</f>
        <v>0</v>
      </c>
      <c r="E19" s="58" t="str">
        <f>IF(B19=1,E43,IF(B19=2,G35,IF(B19=3,G36,IF(B19=4,G37,IF(B19=5,G38,IF(B19=6,G39,IF(B19=7,G40,IF(B19=8,G41,G42))))))))</f>
        <v xml:space="preserve">девятьсот </v>
      </c>
      <c r="H19" s="50"/>
    </row>
    <row r="20" spans="1:9">
      <c r="A20" s="57">
        <f>TRUNC(A21/10)</f>
        <v>0</v>
      </c>
      <c r="B20" s="50">
        <f>TRUNC(RIGHT(A20))</f>
        <v>0</v>
      </c>
      <c r="C20" s="54">
        <f>IF(B20=1,"",B20)</f>
        <v>0</v>
      </c>
      <c r="D20" s="46"/>
      <c r="E20" s="59" t="str">
        <f>IF(OR(C20=0,B20=1),"",IF(B20=2,E35,IF(B20=3,E36,IF(B20=4,E37,IF(B20=5,E38,IF(B20=6,E39,IF(B20=7,E40,IF(B20=8,E41,E42))))))))</f>
        <v/>
      </c>
      <c r="F20" s="46"/>
    </row>
    <row r="21" spans="1:9" s="46" customFormat="1">
      <c r="A21" s="57">
        <f>TRUNC(A23/10)</f>
        <v>3</v>
      </c>
      <c r="B21" s="50">
        <f>TRUNC(RIGHT(A21))</f>
        <v>3</v>
      </c>
      <c r="C21" s="54">
        <f>IF(B20=1,B21+10,IF(B21=0,0,B21))</f>
        <v>3</v>
      </c>
      <c r="D21" s="46" t="str">
        <f>IF(AND(C21&gt;9,C21&lt;16),IF(C21=10,D34,IF(C21=11,D35,IF(C21=12,D36,IF(C21=13,D37,IF(C21=14,D38,IF(C21=15,D39,)))))),"")</f>
        <v/>
      </c>
      <c r="E21" s="59" t="str">
        <f>IF(B21=1,A34,IF(B21=2,A35,IF(B21=3,A36,IF(B21=4,A37,IF(B21=5,A38,IF(B21=6,A39,IF(B21=7,A40,IF(B21=8,A41,A42))))))))</f>
        <v xml:space="preserve">три </v>
      </c>
      <c r="F21" s="46" t="str">
        <f>IF(AND(C21&gt;15,C21&lt;20),IF(C21=16,D40,IF(C21=17,D41,IF(C21=18,D42,IF(C21=19,D43,)))),"")</f>
        <v/>
      </c>
    </row>
    <row r="22" spans="1:9" s="46" customFormat="1">
      <c r="A22" s="57"/>
      <c r="B22" s="50"/>
      <c r="C22" s="54"/>
      <c r="E22" s="46">
        <f>B21+B20*10+B19*100</f>
        <v>3</v>
      </c>
      <c r="F22" s="46" t="str">
        <f>IF(E22=0,"",IF(B20=1,"миллионов ",IF(B21=1,"миллион ",IF(OR(B21=2,B21=3,B21=4),"миллиона ","миллионов "))))</f>
        <v xml:space="preserve">миллиона </v>
      </c>
    </row>
    <row r="23" spans="1:9" s="46" customFormat="1">
      <c r="A23" s="57">
        <f>TRUNC(A24/10)</f>
        <v>31</v>
      </c>
      <c r="B23" s="50">
        <f>TRUNC(RIGHT(A23))</f>
        <v>1</v>
      </c>
      <c r="C23" s="54">
        <f>B23</f>
        <v>1</v>
      </c>
      <c r="E23" s="58" t="str">
        <f>IF(B23=1,E43,IF(B23=2,G35,IF(B23=3,G36,IF(B23=4,G37,IF(B23=5,G38,IF(B23=6,G39,IF(B23=7,G40,IF(B23=8,G41,G42))))))))</f>
        <v xml:space="preserve">сто </v>
      </c>
      <c r="I23" s="53"/>
    </row>
    <row r="24" spans="1:9" s="46" customFormat="1">
      <c r="A24" s="57">
        <f>TRUNC(A25/10)</f>
        <v>312</v>
      </c>
      <c r="B24" s="50">
        <f>TRUNC(RIGHT(A24))</f>
        <v>2</v>
      </c>
      <c r="C24" s="54">
        <f>IF(B24=1,"",B24)</f>
        <v>2</v>
      </c>
      <c r="E24" s="59" t="str">
        <f>IF(OR(C24=0,B24=1),"",IF(B24=2,E35,IF(B24=3,E36,IF(B24=4,E37,IF(B24=5,E38,IF(B24=6,E39,IF(B24=7,E40,IF(B24=8,E41,E42))))))))</f>
        <v xml:space="preserve">двадцать </v>
      </c>
    </row>
    <row r="25" spans="1:9" s="46" customFormat="1">
      <c r="A25" s="57">
        <f>TRUNC(A27/10)</f>
        <v>3128</v>
      </c>
      <c r="B25" s="50">
        <f>TRUNC(RIGHT(A25))</f>
        <v>8</v>
      </c>
      <c r="C25" s="54">
        <f>IF(B24=1,B25+10,IF(B25=0,0,B25))</f>
        <v>8</v>
      </c>
      <c r="D25" s="46" t="str">
        <f>IF(AND(C25&gt;9,C25&lt;16),IF(C25=10,D34,IF(C25=11,D35,IF(C25=12,D36,IF(C25=13,D37,IF(C25=14,D38,IF(C25=15,D39,)))))),"")</f>
        <v/>
      </c>
      <c r="E25" s="59" t="str">
        <f>IF(B25=1,B34,IF(B25=2,B35,IF(B25=3,A36,IF(B25=4,A37,IF(B25=5,A38,IF(B25=6,A39,IF(B25=7,A40,IF(B25=8,A41,A42))))))))</f>
        <v xml:space="preserve">восемь </v>
      </c>
      <c r="F25" s="46" t="str">
        <f>IF(AND(C25&gt;15,C25&lt;20),IF(C25=16,D40,IF(C25=17,D41,IF(C25=18,D42,IF(C25=19,D43,)))),"")</f>
        <v/>
      </c>
    </row>
    <row r="26" spans="1:9" s="46" customFormat="1">
      <c r="A26" s="57"/>
      <c r="B26" s="50"/>
      <c r="C26" s="54"/>
      <c r="E26" s="60">
        <f>B23*100+B24*10+B25</f>
        <v>128</v>
      </c>
      <c r="F26" s="46" t="str">
        <f>IF(E26=0,"",IF(B24=1,"тысяч ",IF(B25=1,"тысяча ",IF(OR(B25=2,B25=3,B25=4),"тысячи ","тысяч "))))</f>
        <v xml:space="preserve">тысяч </v>
      </c>
    </row>
    <row r="27" spans="1:9" s="46" customFormat="1">
      <c r="A27" s="57">
        <f>TRUNC(A28/10)</f>
        <v>31282</v>
      </c>
      <c r="B27" s="50">
        <f>TRUNC(RIGHT(A27))</f>
        <v>2</v>
      </c>
      <c r="C27" s="54">
        <f>B27</f>
        <v>2</v>
      </c>
      <c r="E27" s="58" t="str">
        <f>IF(B27=1,E43,IF(B27=2,G35,IF(B27=3,G36,IF(B27=4,G37,IF(B27=5,G38,IF(B27=6,G39,IF(B27=7,G40,IF(B27=8,G41,G42))))))))</f>
        <v xml:space="preserve">двести </v>
      </c>
    </row>
    <row r="28" spans="1:9" s="46" customFormat="1">
      <c r="A28" s="57">
        <f>TRUNC(A29/10)</f>
        <v>312821</v>
      </c>
      <c r="B28" s="61">
        <f>TRUNC(RIGHT(A28))</f>
        <v>1</v>
      </c>
      <c r="C28" s="54" t="str">
        <f>IF(B28=1,"",B28)</f>
        <v/>
      </c>
      <c r="E28" s="59" t="str">
        <f>IF(OR(C28=0,B28=1),"",IF(C28=2,E35,IF(C28=3,E36,IF(C28=4,E37,IF(C28=5,E38,IF(C28=6,E39,IF(C28=7,E40,IF(C28=8,E41,E42))))))))</f>
        <v/>
      </c>
      <c r="G28" s="50"/>
    </row>
    <row r="29" spans="1:9" s="46" customFormat="1">
      <c r="A29" s="57">
        <f>E13</f>
        <v>3128211</v>
      </c>
      <c r="B29" s="50">
        <f>TRUNC(RIGHT(A29))</f>
        <v>1</v>
      </c>
      <c r="C29" s="54">
        <f>IF(B28=1,B29+10,IF(B29=0,0,B29))</f>
        <v>11</v>
      </c>
      <c r="D29" s="46" t="str">
        <f>IF(AND(C29&gt;9,C29&lt;16),IF(C29=10,D34,IF(C29=11,D35,IF(C29=12,D36,IF(C29=13,D37,IF(C29=14,D38,IF(C29=15,D39,)))))),"")</f>
        <v xml:space="preserve">одиннадцать </v>
      </c>
      <c r="E29" s="59" t="str">
        <f>IF(B29=1,A34,IF(B29=2,A35,IF(B29=3,A36,IF(B29=4,A37,IF(B29=5,A38,IF(B29=6,A39,IF(B29=7,A40,IF(B29=8,A41,A42))))))))</f>
        <v xml:space="preserve">один </v>
      </c>
      <c r="F29" s="46" t="str">
        <f>IF(AND(C29&gt;15,C29&lt;20),IF(C29=16,D40,IF(C29=17,D41,IF(C29=18,D42,IF(C29=19,D43,)))),"")</f>
        <v/>
      </c>
      <c r="G29" s="50"/>
    </row>
    <row r="30" spans="1:9" s="46" customFormat="1">
      <c r="A30" s="52"/>
      <c r="B30" s="61"/>
      <c r="C30" s="62"/>
      <c r="E30" s="60">
        <f>B27*100+B28*10+B29</f>
        <v>211</v>
      </c>
      <c r="F30" s="46" t="str">
        <f>IF(E30+E26+E22+E18=0,"ноль рублей ",IF(C29=1,"рубль ",IF(OR(C29=2,C29=3,C29=4),"рубля ","рублей ")))</f>
        <v xml:space="preserve">рублей </v>
      </c>
      <c r="G30" s="50"/>
    </row>
    <row r="31" spans="1:9" s="46" customFormat="1">
      <c r="A31" s="63">
        <f>ROUND(100*(E2-E13),0)</f>
        <v>27</v>
      </c>
      <c r="C31" s="62">
        <f>TRUNC(A31/10)</f>
        <v>2</v>
      </c>
      <c r="E31" s="59" t="str">
        <f>IF(OR(C31=1,C31=0),"",IF(C31=2,E35,IF(C31=3,E36,IF(C31=4,E37,IF(C31=5,E38,IF(C31=6,E39,IF(C31=7,E40,IF(C31=8,E41,E42))))))))</f>
        <v xml:space="preserve">двадцать </v>
      </c>
      <c r="H31" s="50"/>
    </row>
    <row r="32" spans="1:9" s="46" customFormat="1">
      <c r="C32" s="62">
        <f>TRUNC(A31-C31*10)</f>
        <v>7</v>
      </c>
      <c r="E32" s="59" t="str">
        <f>IF(C32=1,B34,IF(C32=2,B35,IF(C32=3,A36,IF(C32=4,A37,IF(C32=5,A38,IF(C32=6,A39,IF(C32=7,A40,IF(C32=8,A41,A42))))))))</f>
        <v xml:space="preserve">семь </v>
      </c>
      <c r="H32" s="50"/>
    </row>
    <row r="33" spans="1:11" s="46" customFormat="1">
      <c r="F33" s="46" t="s">
        <v>19</v>
      </c>
      <c r="H33" s="50"/>
    </row>
    <row r="34" spans="1:11" s="46" customFormat="1">
      <c r="A34" s="64" t="s">
        <v>20</v>
      </c>
      <c r="B34" s="64" t="s">
        <v>21</v>
      </c>
      <c r="C34" s="64"/>
      <c r="D34" s="64" t="s">
        <v>22</v>
      </c>
      <c r="H34" s="50"/>
    </row>
    <row r="35" spans="1:11" s="46" customFormat="1">
      <c r="A35" s="64" t="s">
        <v>23</v>
      </c>
      <c r="B35" s="64" t="s">
        <v>24</v>
      </c>
      <c r="C35" s="64"/>
      <c r="D35" s="64" t="s">
        <v>25</v>
      </c>
      <c r="E35" s="64" t="s">
        <v>26</v>
      </c>
      <c r="G35" s="64" t="s">
        <v>27</v>
      </c>
    </row>
    <row r="36" spans="1:11" s="46" customFormat="1">
      <c r="A36" s="64" t="s">
        <v>28</v>
      </c>
      <c r="B36" s="64"/>
      <c r="C36" s="64"/>
      <c r="D36" s="64" t="s">
        <v>29</v>
      </c>
      <c r="E36" s="64" t="s">
        <v>30</v>
      </c>
      <c r="G36" s="64" t="s">
        <v>31</v>
      </c>
    </row>
    <row r="37" spans="1:11" s="46" customFormat="1">
      <c r="A37" s="64" t="s">
        <v>32</v>
      </c>
      <c r="B37" s="64"/>
      <c r="C37" s="64"/>
      <c r="D37" s="64" t="s">
        <v>33</v>
      </c>
      <c r="E37" s="64" t="s">
        <v>34</v>
      </c>
      <c r="G37" s="64" t="s">
        <v>35</v>
      </c>
    </row>
    <row r="38" spans="1:11" s="46" customFormat="1">
      <c r="A38" s="64" t="s">
        <v>36</v>
      </c>
      <c r="B38" s="64"/>
      <c r="C38" s="64"/>
      <c r="D38" s="64" t="s">
        <v>37</v>
      </c>
      <c r="E38" s="64" t="s">
        <v>38</v>
      </c>
      <c r="G38" s="64" t="s">
        <v>39</v>
      </c>
    </row>
    <row r="39" spans="1:11" s="46" customFormat="1">
      <c r="A39" s="64" t="s">
        <v>40</v>
      </c>
      <c r="B39" s="64"/>
      <c r="C39" s="64"/>
      <c r="D39" s="64" t="s">
        <v>41</v>
      </c>
      <c r="E39" s="64" t="s">
        <v>42</v>
      </c>
      <c r="G39" s="64" t="s">
        <v>43</v>
      </c>
    </row>
    <row r="40" spans="1:11" s="46" customFormat="1">
      <c r="A40" s="64" t="s">
        <v>44</v>
      </c>
      <c r="B40" s="64"/>
      <c r="C40" s="64"/>
      <c r="D40" s="64" t="s">
        <v>45</v>
      </c>
      <c r="E40" s="64" t="s">
        <v>46</v>
      </c>
      <c r="G40" s="64" t="s">
        <v>47</v>
      </c>
    </row>
    <row r="41" spans="1:11" s="46" customFormat="1">
      <c r="A41" s="65" t="s">
        <v>48</v>
      </c>
      <c r="B41" s="64"/>
      <c r="C41" s="64"/>
      <c r="D41" s="64" t="s">
        <v>49</v>
      </c>
      <c r="E41" s="64" t="s">
        <v>50</v>
      </c>
      <c r="G41" s="64" t="s">
        <v>51</v>
      </c>
    </row>
    <row r="42" spans="1:11" s="46" customFormat="1">
      <c r="A42" s="64" t="s">
        <v>52</v>
      </c>
      <c r="B42" s="64"/>
      <c r="C42" s="64"/>
      <c r="D42" s="64" t="s">
        <v>53</v>
      </c>
      <c r="E42" s="64" t="s">
        <v>54</v>
      </c>
      <c r="G42" s="64" t="s">
        <v>55</v>
      </c>
    </row>
    <row r="43" spans="1:11" s="46" customFormat="1">
      <c r="B43" s="64"/>
      <c r="C43" s="64"/>
      <c r="D43" s="64" t="s">
        <v>56</v>
      </c>
      <c r="E43" s="64" t="s">
        <v>57</v>
      </c>
      <c r="H43" s="50"/>
    </row>
    <row r="44" spans="1:11" s="46" customFormat="1">
      <c r="A44" s="109" t="s">
        <v>58</v>
      </c>
      <c r="B44" s="109"/>
      <c r="C44" s="109"/>
      <c r="D44" s="109"/>
      <c r="E44" s="109"/>
      <c r="F44" s="109"/>
      <c r="G44" s="109"/>
      <c r="H44" s="109"/>
      <c r="I44" s="109"/>
      <c r="J44" s="104" t="s">
        <v>59</v>
      </c>
      <c r="K44" s="104"/>
    </row>
    <row r="45" spans="1:11" s="46" customFormat="1">
      <c r="A45" s="109"/>
      <c r="B45" s="109"/>
      <c r="C45" s="109"/>
      <c r="D45" s="109"/>
      <c r="E45" s="109"/>
      <c r="F45" s="109"/>
      <c r="G45" s="109"/>
      <c r="H45" s="109"/>
      <c r="I45" s="109"/>
      <c r="J45" s="104"/>
      <c r="K45" s="104"/>
    </row>
    <row r="46" spans="1:11" s="46" customFormat="1">
      <c r="B46" s="64"/>
      <c r="C46" s="64"/>
      <c r="G46" s="103" t="s">
        <v>60</v>
      </c>
      <c r="H46" s="103"/>
      <c r="I46" s="103"/>
      <c r="J46" s="66" t="s">
        <v>61</v>
      </c>
    </row>
    <row r="47" spans="1:11" s="46" customFormat="1">
      <c r="B47" s="64"/>
      <c r="C47" s="64"/>
      <c r="H47" s="50"/>
    </row>
    <row r="48" spans="1:11" s="46" customFormat="1">
      <c r="B48" s="64"/>
      <c r="C48" s="64"/>
      <c r="H48" s="50"/>
    </row>
    <row r="49" spans="2:8" s="46" customFormat="1">
      <c r="B49" s="64"/>
      <c r="C49" s="64"/>
      <c r="H49" s="50"/>
    </row>
    <row r="50" spans="2:8" s="46" customFormat="1">
      <c r="B50" s="64"/>
      <c r="C50" s="64"/>
      <c r="H50" s="50"/>
    </row>
    <row r="51" spans="2:8" s="46" customFormat="1">
      <c r="B51" s="64"/>
      <c r="C51" s="64"/>
      <c r="H51" s="50"/>
    </row>
    <row r="52" spans="2:8" s="46" customFormat="1">
      <c r="B52" s="64"/>
      <c r="C52" s="64"/>
      <c r="H52" s="50"/>
    </row>
    <row r="100" spans="1:4">
      <c r="A100" s="104" t="s">
        <v>62</v>
      </c>
      <c r="B100" s="104"/>
      <c r="C100" s="104"/>
      <c r="D100" s="104"/>
    </row>
    <row r="101" spans="1:4">
      <c r="A101" s="24" t="s">
        <v>63</v>
      </c>
    </row>
  </sheetData>
  <mergeCells count="8">
    <mergeCell ref="G46:I46"/>
    <mergeCell ref="A100:D100"/>
    <mergeCell ref="A1:N1"/>
    <mergeCell ref="N3:O3"/>
    <mergeCell ref="K4:M4"/>
    <mergeCell ref="H7:J11"/>
    <mergeCell ref="A44:I45"/>
    <mergeCell ref="J44:K45"/>
  </mergeCells>
  <phoneticPr fontId="1" type="noConversion"/>
  <hyperlinks>
    <hyperlink ref="A100:D100" r:id="rId1" display="© Олег Оксанич 2005г  www.allok.ru"/>
    <hyperlink ref="J44" r:id="rId2"/>
    <hyperlink ref="J46" r:id="rId3" tooltip="Замечания о программе"/>
  </hyperlinks>
  <pageMargins left="0.75" right="0.75" top="1" bottom="1" header="0.5" footer="0.5"/>
  <pageSetup paperSize="9" orientation="portrait" r:id="rId4"/>
  <headerFooter alignWithMargins="0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S101"/>
  <sheetViews>
    <sheetView workbookViewId="0">
      <selection activeCell="E3" sqref="E3"/>
    </sheetView>
  </sheetViews>
  <sheetFormatPr defaultColWidth="8.33203125" defaultRowHeight="13.2"/>
  <cols>
    <col min="1" max="1" width="15.44140625" style="24" customWidth="1"/>
    <col min="2" max="2" width="8.109375" style="24" customWidth="1"/>
    <col min="3" max="3" width="6" style="24" customWidth="1"/>
    <col min="4" max="4" width="12.33203125" style="24" customWidth="1"/>
    <col min="5" max="5" width="20.88671875" style="24" customWidth="1"/>
    <col min="6" max="6" width="8.5546875" style="24" customWidth="1"/>
    <col min="7" max="7" width="8.33203125" style="24" customWidth="1"/>
    <col min="8" max="8" width="12" style="41" customWidth="1"/>
    <col min="9" max="9" width="9.33203125" style="24" bestFit="1" customWidth="1"/>
    <col min="10" max="12" width="8.33203125" style="24" customWidth="1"/>
    <col min="13" max="13" width="14" style="24" bestFit="1" customWidth="1"/>
    <col min="14" max="16" width="8.33203125" style="24" customWidth="1"/>
    <col min="17" max="17" width="14" style="24" bestFit="1" customWidth="1"/>
    <col min="18" max="16384" width="8.33203125" style="24"/>
  </cols>
  <sheetData>
    <row r="1" spans="1:19" ht="30" customHeight="1">
      <c r="A1" s="105" t="s">
        <v>11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9" ht="15.6">
      <c r="B2" s="25"/>
      <c r="C2" s="25"/>
      <c r="D2" s="25"/>
      <c r="E2" s="26">
        <f>детали!H120</f>
        <v>477184.76999999996</v>
      </c>
      <c r="G2" s="27"/>
      <c r="H2" s="28"/>
    </row>
    <row r="3" spans="1:19" ht="15.6">
      <c r="A3" s="29" t="s">
        <v>12</v>
      </c>
      <c r="B3" s="30" t="str">
        <f>SUBSTITUTE(B5,F9,F10,1)</f>
        <v>Четыреста семьдесят семь тысяч сто восемьдесят четыре рубля 77 коп.</v>
      </c>
      <c r="E3" s="31"/>
      <c r="H3" s="32"/>
      <c r="I3" s="33"/>
      <c r="J3" s="32"/>
      <c r="K3" s="32"/>
      <c r="L3" s="32"/>
      <c r="M3" s="34" t="s">
        <v>13</v>
      </c>
      <c r="N3" s="106">
        <f ca="1">TODAY()</f>
        <v>42146</v>
      </c>
      <c r="O3" s="106"/>
      <c r="P3" s="33">
        <f ca="1">DAY(N3)</f>
        <v>22</v>
      </c>
      <c r="Q3" s="35" t="str">
        <f ca="1">IF(Q4&gt;7,S3,S4)</f>
        <v>мая</v>
      </c>
      <c r="R3" s="36">
        <f ca="1">YEAR(N3)</f>
        <v>2015</v>
      </c>
      <c r="S3" s="37" t="str">
        <f ca="1">IF(Q4=8,"августа",IF(Q4=9,"сентября",IF(Q4=10,"октября",IF(Q4=11,"ноября",IF(Q4=12,"декабря","не отсюда")))))</f>
        <v>не отсюда</v>
      </c>
    </row>
    <row r="4" spans="1:19">
      <c r="A4" s="29" t="s">
        <v>14</v>
      </c>
      <c r="B4" s="38" t="str">
        <f>SUBSTITUTE(B6,F9,F10,1)</f>
        <v>Четыреста семьдесят семь тысяч сто восемьдесят четыре рубля 77 коп.</v>
      </c>
      <c r="H4" s="32"/>
      <c r="I4" s="32"/>
      <c r="J4" s="32"/>
      <c r="K4" s="107" t="str">
        <f ca="1">CONCATENATE(" «  ",P3,"  »  ",Q3,"  ",R3," г.")</f>
        <v xml:space="preserve"> «  22  »  мая  2015 г.</v>
      </c>
      <c r="L4" s="107"/>
      <c r="M4" s="107"/>
      <c r="N4" s="39"/>
      <c r="O4" s="39"/>
      <c r="P4" s="32"/>
      <c r="Q4" s="35">
        <f ca="1">MONTH(N3)</f>
        <v>5</v>
      </c>
      <c r="R4" s="32"/>
      <c r="S4" s="37" t="str">
        <f ca="1">IF(Q4=1,"января",IF(Q4=2,"февраля",IF(Q4=3,"марта",IF(Q4=4,"апреля",IF(Q4=5,"мая",IF(Q4=6,"июня",IF(Q4=7,"июля","брать не отсюда")))))))</f>
        <v>мая</v>
      </c>
    </row>
    <row r="5" spans="1:19">
      <c r="A5" s="40" t="s">
        <v>15</v>
      </c>
      <c r="B5" s="38" t="str">
        <f>CONCATENATE(A8,A9,A10,A11,A12)</f>
        <v>четыреста семьдесят семь тысяч сто восемьдесят четыре рубля 77 коп.</v>
      </c>
    </row>
    <row r="6" spans="1:19" s="38" customFormat="1">
      <c r="A6" s="40" t="s">
        <v>16</v>
      </c>
      <c r="B6" s="38" t="str">
        <f>CONCATENATE(A8,A9,A10,A11,A12,B8,B9,C9)</f>
        <v>четыреста семьдесят семь тысяч сто восемьдесят четыре рубля 77 коп.</v>
      </c>
      <c r="C6" s="24"/>
      <c r="D6" s="24"/>
      <c r="E6" s="24"/>
      <c r="H6" s="42"/>
    </row>
    <row r="7" spans="1:19">
      <c r="D7" s="41"/>
      <c r="H7" s="108" t="s">
        <v>17</v>
      </c>
      <c r="I7" s="108"/>
      <c r="J7" s="108"/>
    </row>
    <row r="8" spans="1:19" ht="12.75" customHeight="1">
      <c r="A8" s="43" t="str">
        <f>CONCATENATE(IF(B15=0,"",E15),IF(B16=0,"",IF(C17&lt;20,IF(C17&lt;16,IF(C17&lt;10,E16,D17),F17),E16)),IF(B17=0,"",IF(NOT(B16=1),E17,"")),F18)</f>
        <v/>
      </c>
      <c r="D8" s="41"/>
      <c r="F8" s="44">
        <f>CODE(B6)</f>
        <v>247</v>
      </c>
      <c r="G8" s="45"/>
      <c r="H8" s="108"/>
      <c r="I8" s="108"/>
      <c r="J8" s="108"/>
    </row>
    <row r="9" spans="1:19" ht="12.75" customHeight="1">
      <c r="A9" s="46" t="str">
        <f>CONCATENATE(IF(B19=0,"",E19),IF(B20=0,"",IF(C21&lt;20,IF(C21&lt;16,IF(C21&lt;10,E20,D21),F21),E20)),IF(B21=0,"",IF(NOT(B20=1),E21,"")),F22)</f>
        <v/>
      </c>
      <c r="B9" s="47"/>
      <c r="D9" s="48"/>
      <c r="F9" s="44" t="str">
        <f>CHAR(F8)</f>
        <v>ч</v>
      </c>
      <c r="G9" s="45"/>
      <c r="H9" s="108"/>
      <c r="I9" s="108"/>
      <c r="J9" s="108"/>
      <c r="Q9" s="49"/>
    </row>
    <row r="10" spans="1:19" s="46" customFormat="1" ht="12.75" customHeight="1">
      <c r="A10" s="46" t="str">
        <f>CONCATENATE(IF(B23=0,"",E23),IF(B24=0,"",IF(C25&lt;20,IF(C25&lt;16,IF(C25&lt;10,E24,D25),F25),E24)),IF(B25=0,"",IF(NOT(B24=1),E25,"")),F26)</f>
        <v xml:space="preserve">четыреста семьдесят семь тысяч </v>
      </c>
      <c r="D10" s="50"/>
      <c r="E10" s="51"/>
      <c r="F10" s="44" t="str">
        <f>PROPER(F9)</f>
        <v>Ч</v>
      </c>
      <c r="G10" s="45"/>
      <c r="H10" s="108"/>
      <c r="I10" s="108"/>
      <c r="J10" s="108"/>
    </row>
    <row r="11" spans="1:19" s="46" customFormat="1" ht="12.75" customHeight="1">
      <c r="A11" s="46" t="str">
        <f>CONCATENATE(IF(B27=0,"",E27),IF(B28=0,"",IF(C29&lt;20,IF(C29&lt;16,IF(C29&lt;10,E28,D29),F29),E28)),IF(B29=0,"",IF(NOT(B28=1),E29,"")),F30)</f>
        <v xml:space="preserve">сто восемьдесят четыре рубля </v>
      </c>
      <c r="D11" s="50"/>
      <c r="E11" s="51"/>
      <c r="H11" s="108"/>
      <c r="I11" s="108"/>
      <c r="J11" s="108"/>
    </row>
    <row r="12" spans="1:19" s="46" customFormat="1">
      <c r="A12" s="52" t="str">
        <f>CONCATENATE(IF(C31=0,"0",C31),IF(C32=0,"0",C32)," ",F33)</f>
        <v>77 коп.</v>
      </c>
      <c r="D12" s="50"/>
      <c r="E12" s="51"/>
      <c r="M12" s="53">
        <f ca="1">TODAY()</f>
        <v>42146</v>
      </c>
    </row>
    <row r="13" spans="1:19" s="46" customFormat="1">
      <c r="A13" s="52"/>
      <c r="D13" s="54"/>
      <c r="E13" s="55">
        <f>TRUNC(E2)</f>
        <v>477184</v>
      </c>
      <c r="F13" s="54" t="s">
        <v>18</v>
      </c>
      <c r="H13" s="50"/>
      <c r="M13" s="56"/>
    </row>
    <row r="14" spans="1:19" s="46" customFormat="1">
      <c r="A14" s="57">
        <f>TRUNC(A15/10)</f>
        <v>0</v>
      </c>
      <c r="B14" s="50"/>
      <c r="C14" s="54"/>
      <c r="H14" s="50"/>
    </row>
    <row r="15" spans="1:19" s="46" customFormat="1">
      <c r="A15" s="57">
        <f>TRUNC(A16/10)</f>
        <v>0</v>
      </c>
      <c r="B15" s="50">
        <f>TRUNC(RIGHT(A15))</f>
        <v>0</v>
      </c>
      <c r="C15" s="54">
        <f>B15</f>
        <v>0</v>
      </c>
      <c r="E15" s="58" t="str">
        <f>IF(B15=1,E43,IF(B15=2,G35,IF(B15=3,G36,IF(B15=4,G37,IF(B15=5,G38,IF(B15=6,G39,IF(B15=7,G40,IF(B15=8,G41,G42))))))))</f>
        <v xml:space="preserve">девятьсот </v>
      </c>
      <c r="H15" s="50"/>
    </row>
    <row r="16" spans="1:19" s="46" customFormat="1">
      <c r="A16" s="57">
        <f>TRUNC(A17/10)</f>
        <v>0</v>
      </c>
      <c r="B16" s="50">
        <f>TRUNC(RIGHT(A16))</f>
        <v>0</v>
      </c>
      <c r="C16" s="54">
        <f>IF(B16=1,"",B16)</f>
        <v>0</v>
      </c>
      <c r="E16" s="59" t="str">
        <f>IF(OR(C16=0,B16=1),"",IF(B16=2,E35,IF(B16=3,E36,IF(B16=4,E37,IF(B16=5,E38,IF(B16=6,E39,IF(B16=7,E40,IF(B16=8,E41,E42))))))))</f>
        <v/>
      </c>
      <c r="H16" s="50"/>
    </row>
    <row r="17" spans="1:9" s="46" customFormat="1">
      <c r="A17" s="57">
        <f>TRUNC(A19/10)</f>
        <v>0</v>
      </c>
      <c r="B17" s="50">
        <f>TRUNC(RIGHT(A17))</f>
        <v>0</v>
      </c>
      <c r="C17" s="54">
        <f>IF(B16=1,B17+10,IF(B17=0,0,B17))</f>
        <v>0</v>
      </c>
      <c r="D17" s="46" t="str">
        <f>IF(AND(C17&gt;9,C17&lt;16),IF(C17=10,D34,IF(C17=11,D35,IF(C17=12,D36,IF(C17=13,D37,IF(C17=14,D38,IF(C17=15,D39,)))))),"")</f>
        <v/>
      </c>
      <c r="E17" s="59" t="str">
        <f>IF(B17=1,A34,IF(B17=2,A35,IF(B17=3,A36,IF(B17=4,A37,IF(B17=5,A38,IF(B17=6,A39,IF(B17=7,A40,IF(B17=8,A41,A42))))))))</f>
        <v xml:space="preserve">девять </v>
      </c>
      <c r="F17" s="46" t="str">
        <f>IF(AND(C17&gt;15,C17&lt;20),IF(C17=16,D40,IF(C17=17,D41,IF(C17=18,D42,IF(C17=19,D43,)))),"")</f>
        <v/>
      </c>
      <c r="H17" s="50"/>
    </row>
    <row r="18" spans="1:9" s="46" customFormat="1">
      <c r="A18" s="57"/>
      <c r="B18" s="50"/>
      <c r="D18" s="50"/>
      <c r="E18" s="46">
        <f>B17+B16*10+B15*100</f>
        <v>0</v>
      </c>
      <c r="F18" s="46" t="str">
        <f>IF(E18=0,"",IF(B16=1,"миллиардов ",IF(B17=1,"милиард ",IF(OR(B17=2,B17=3,B17=4),"миллиарда ","милиардов "))))</f>
        <v/>
      </c>
      <c r="H18" s="50"/>
    </row>
    <row r="19" spans="1:9" s="46" customFormat="1">
      <c r="A19" s="57">
        <f>TRUNC(A20/10)</f>
        <v>0</v>
      </c>
      <c r="B19" s="50">
        <f>TRUNC(RIGHT(A19))</f>
        <v>0</v>
      </c>
      <c r="C19" s="54">
        <f>B19</f>
        <v>0</v>
      </c>
      <c r="E19" s="58" t="str">
        <f>IF(B19=1,E43,IF(B19=2,G35,IF(B19=3,G36,IF(B19=4,G37,IF(B19=5,G38,IF(B19=6,G39,IF(B19=7,G40,IF(B19=8,G41,G42))))))))</f>
        <v xml:space="preserve">девятьсот </v>
      </c>
      <c r="H19" s="50"/>
    </row>
    <row r="20" spans="1:9">
      <c r="A20" s="57">
        <f>TRUNC(A21/10)</f>
        <v>0</v>
      </c>
      <c r="B20" s="50">
        <f>TRUNC(RIGHT(A20))</f>
        <v>0</v>
      </c>
      <c r="C20" s="54">
        <f>IF(B20=1,"",B20)</f>
        <v>0</v>
      </c>
      <c r="D20" s="46"/>
      <c r="E20" s="59" t="str">
        <f>IF(OR(C20=0,B20=1),"",IF(B20=2,E35,IF(B20=3,E36,IF(B20=4,E37,IF(B20=5,E38,IF(B20=6,E39,IF(B20=7,E40,IF(B20=8,E41,E42))))))))</f>
        <v/>
      </c>
      <c r="F20" s="46"/>
    </row>
    <row r="21" spans="1:9" s="46" customFormat="1">
      <c r="A21" s="57">
        <f>TRUNC(A23/10)</f>
        <v>0</v>
      </c>
      <c r="B21" s="50">
        <f>TRUNC(RIGHT(A21))</f>
        <v>0</v>
      </c>
      <c r="C21" s="54">
        <f>IF(B20=1,B21+10,IF(B21=0,0,B21))</f>
        <v>0</v>
      </c>
      <c r="D21" s="46" t="str">
        <f>IF(AND(C21&gt;9,C21&lt;16),IF(C21=10,D34,IF(C21=11,D35,IF(C21=12,D36,IF(C21=13,D37,IF(C21=14,D38,IF(C21=15,D39,)))))),"")</f>
        <v/>
      </c>
      <c r="E21" s="59" t="str">
        <f>IF(B21=1,A34,IF(B21=2,A35,IF(B21=3,A36,IF(B21=4,A37,IF(B21=5,A38,IF(B21=6,A39,IF(B21=7,A40,IF(B21=8,A41,A42))))))))</f>
        <v xml:space="preserve">девять </v>
      </c>
      <c r="F21" s="46" t="str">
        <f>IF(AND(C21&gt;15,C21&lt;20),IF(C21=16,D40,IF(C21=17,D41,IF(C21=18,D42,IF(C21=19,D43,)))),"")</f>
        <v/>
      </c>
    </row>
    <row r="22" spans="1:9" s="46" customFormat="1">
      <c r="A22" s="57"/>
      <c r="B22" s="50"/>
      <c r="C22" s="54"/>
      <c r="E22" s="46">
        <f>B21+B20*10+B19*100</f>
        <v>0</v>
      </c>
      <c r="F22" s="46" t="str">
        <f>IF(E22=0,"",IF(B20=1,"миллионов ",IF(B21=1,"миллион ",IF(OR(B21=2,B21=3,B21=4),"миллиона ","миллионов "))))</f>
        <v/>
      </c>
    </row>
    <row r="23" spans="1:9" s="46" customFormat="1">
      <c r="A23" s="57">
        <f>TRUNC(A24/10)</f>
        <v>4</v>
      </c>
      <c r="B23" s="50">
        <f>TRUNC(RIGHT(A23))</f>
        <v>4</v>
      </c>
      <c r="C23" s="54">
        <f>B23</f>
        <v>4</v>
      </c>
      <c r="E23" s="58" t="str">
        <f>IF(B23=1,E43,IF(B23=2,G35,IF(B23=3,G36,IF(B23=4,G37,IF(B23=5,G38,IF(B23=6,G39,IF(B23=7,G40,IF(B23=8,G41,G42))))))))</f>
        <v xml:space="preserve">четыреста </v>
      </c>
      <c r="I23" s="53"/>
    </row>
    <row r="24" spans="1:9" s="46" customFormat="1">
      <c r="A24" s="57">
        <f>TRUNC(A25/10)</f>
        <v>47</v>
      </c>
      <c r="B24" s="50">
        <f>TRUNC(RIGHT(A24))</f>
        <v>7</v>
      </c>
      <c r="C24" s="54">
        <f>IF(B24=1,"",B24)</f>
        <v>7</v>
      </c>
      <c r="E24" s="59" t="str">
        <f>IF(OR(C24=0,B24=1),"",IF(B24=2,E35,IF(B24=3,E36,IF(B24=4,E37,IF(B24=5,E38,IF(B24=6,E39,IF(B24=7,E40,IF(B24=8,E41,E42))))))))</f>
        <v xml:space="preserve">семьдесят </v>
      </c>
    </row>
    <row r="25" spans="1:9" s="46" customFormat="1">
      <c r="A25" s="57">
        <f>TRUNC(A27/10)</f>
        <v>477</v>
      </c>
      <c r="B25" s="50">
        <f>TRUNC(RIGHT(A25))</f>
        <v>7</v>
      </c>
      <c r="C25" s="54">
        <f>IF(B24=1,B25+10,IF(B25=0,0,B25))</f>
        <v>7</v>
      </c>
      <c r="D25" s="46" t="str">
        <f>IF(AND(C25&gt;9,C25&lt;16),IF(C25=10,D34,IF(C25=11,D35,IF(C25=12,D36,IF(C25=13,D37,IF(C25=14,D38,IF(C25=15,D39,)))))),"")</f>
        <v/>
      </c>
      <c r="E25" s="59" t="str">
        <f>IF(B25=1,B34,IF(B25=2,B35,IF(B25=3,A36,IF(B25=4,A37,IF(B25=5,A38,IF(B25=6,A39,IF(B25=7,A40,IF(B25=8,A41,A42))))))))</f>
        <v xml:space="preserve">семь </v>
      </c>
      <c r="F25" s="46" t="str">
        <f>IF(AND(C25&gt;15,C25&lt;20),IF(C25=16,D40,IF(C25=17,D41,IF(C25=18,D42,IF(C25=19,D43,)))),"")</f>
        <v/>
      </c>
    </row>
    <row r="26" spans="1:9" s="46" customFormat="1">
      <c r="A26" s="57"/>
      <c r="B26" s="50"/>
      <c r="C26" s="54"/>
      <c r="E26" s="60">
        <f>B23*100+B24*10+B25</f>
        <v>477</v>
      </c>
      <c r="F26" s="46" t="str">
        <f>IF(E26=0,"",IF(B24=1,"тысяч ",IF(B25=1,"тысяча ",IF(OR(B25=2,B25=3,B25=4),"тысячи ","тысяч "))))</f>
        <v xml:space="preserve">тысяч </v>
      </c>
    </row>
    <row r="27" spans="1:9" s="46" customFormat="1">
      <c r="A27" s="57">
        <f>TRUNC(A28/10)</f>
        <v>4771</v>
      </c>
      <c r="B27" s="50">
        <f>TRUNC(RIGHT(A27))</f>
        <v>1</v>
      </c>
      <c r="C27" s="54">
        <f>B27</f>
        <v>1</v>
      </c>
      <c r="E27" s="58" t="str">
        <f>IF(B27=1,E43,IF(B27=2,G35,IF(B27=3,G36,IF(B27=4,G37,IF(B27=5,G38,IF(B27=6,G39,IF(B27=7,G40,IF(B27=8,G41,G42))))))))</f>
        <v xml:space="preserve">сто </v>
      </c>
    </row>
    <row r="28" spans="1:9" s="46" customFormat="1">
      <c r="A28" s="57">
        <f>TRUNC(A29/10)</f>
        <v>47718</v>
      </c>
      <c r="B28" s="61">
        <f>TRUNC(RIGHT(A28))</f>
        <v>8</v>
      </c>
      <c r="C28" s="54">
        <f>IF(B28=1,"",B28)</f>
        <v>8</v>
      </c>
      <c r="E28" s="59" t="str">
        <f>IF(OR(C28=0,B28=1),"",IF(C28=2,E35,IF(C28=3,E36,IF(C28=4,E37,IF(C28=5,E38,IF(C28=6,E39,IF(C28=7,E40,IF(C28=8,E41,E42))))))))</f>
        <v xml:space="preserve">восемьдесят </v>
      </c>
      <c r="G28" s="50"/>
    </row>
    <row r="29" spans="1:9" s="46" customFormat="1">
      <c r="A29" s="57">
        <f>E13</f>
        <v>477184</v>
      </c>
      <c r="B29" s="50">
        <f>TRUNC(RIGHT(A29))</f>
        <v>4</v>
      </c>
      <c r="C29" s="54">
        <f>IF(B28=1,B29+10,IF(B29=0,0,B29))</f>
        <v>4</v>
      </c>
      <c r="D29" s="46" t="str">
        <f>IF(AND(C29&gt;9,C29&lt;16),IF(C29=10,D34,IF(C29=11,D35,IF(C29=12,D36,IF(C29=13,D37,IF(C29=14,D38,IF(C29=15,D39,)))))),"")</f>
        <v/>
      </c>
      <c r="E29" s="59" t="str">
        <f>IF(B29=1,A34,IF(B29=2,A35,IF(B29=3,A36,IF(B29=4,A37,IF(B29=5,A38,IF(B29=6,A39,IF(B29=7,A40,IF(B29=8,A41,A42))))))))</f>
        <v xml:space="preserve">четыре </v>
      </c>
      <c r="F29" s="46" t="str">
        <f>IF(AND(C29&gt;15,C29&lt;20),IF(C29=16,D40,IF(C29=17,D41,IF(C29=18,D42,IF(C29=19,D43,)))),"")</f>
        <v/>
      </c>
      <c r="G29" s="50"/>
    </row>
    <row r="30" spans="1:9" s="46" customFormat="1">
      <c r="A30" s="52"/>
      <c r="B30" s="61"/>
      <c r="C30" s="62"/>
      <c r="E30" s="60">
        <f>B27*100+B28*10+B29</f>
        <v>184</v>
      </c>
      <c r="F30" s="46" t="str">
        <f>IF(E30+E26+E22+E18=0,"ноль рублей ",IF(C29=1,"рубль ",IF(OR(C29=2,C29=3,C29=4),"рубля ","рублей ")))</f>
        <v xml:space="preserve">рубля </v>
      </c>
      <c r="G30" s="50"/>
    </row>
    <row r="31" spans="1:9" s="46" customFormat="1">
      <c r="A31" s="63">
        <f>ROUND(100*(E2-E13),0)</f>
        <v>77</v>
      </c>
      <c r="C31" s="62">
        <f>TRUNC(A31/10)</f>
        <v>7</v>
      </c>
      <c r="E31" s="59" t="str">
        <f>IF(OR(C31=1,C31=0),"",IF(C31=2,E35,IF(C31=3,E36,IF(C31=4,E37,IF(C31=5,E38,IF(C31=6,E39,IF(C31=7,E40,IF(C31=8,E41,E42))))))))</f>
        <v xml:space="preserve">семьдесят </v>
      </c>
      <c r="H31" s="50"/>
    </row>
    <row r="32" spans="1:9" s="46" customFormat="1">
      <c r="C32" s="62">
        <f>TRUNC(A31-C31*10)</f>
        <v>7</v>
      </c>
      <c r="E32" s="59" t="str">
        <f>IF(C32=1,B34,IF(C32=2,B35,IF(C32=3,A36,IF(C32=4,A37,IF(C32=5,A38,IF(C32=6,A39,IF(C32=7,A40,IF(C32=8,A41,A42))))))))</f>
        <v xml:space="preserve">семь </v>
      </c>
      <c r="H32" s="50"/>
    </row>
    <row r="33" spans="1:11" s="46" customFormat="1">
      <c r="F33" s="46" t="s">
        <v>19</v>
      </c>
      <c r="H33" s="50"/>
    </row>
    <row r="34" spans="1:11" s="46" customFormat="1">
      <c r="A34" s="64" t="s">
        <v>20</v>
      </c>
      <c r="B34" s="64" t="s">
        <v>21</v>
      </c>
      <c r="C34" s="64"/>
      <c r="D34" s="64" t="s">
        <v>22</v>
      </c>
      <c r="H34" s="50"/>
    </row>
    <row r="35" spans="1:11" s="46" customFormat="1">
      <c r="A35" s="64" t="s">
        <v>23</v>
      </c>
      <c r="B35" s="64" t="s">
        <v>24</v>
      </c>
      <c r="C35" s="64"/>
      <c r="D35" s="64" t="s">
        <v>25</v>
      </c>
      <c r="E35" s="64" t="s">
        <v>26</v>
      </c>
      <c r="G35" s="64" t="s">
        <v>27</v>
      </c>
    </row>
    <row r="36" spans="1:11" s="46" customFormat="1">
      <c r="A36" s="64" t="s">
        <v>28</v>
      </c>
      <c r="B36" s="64"/>
      <c r="C36" s="64"/>
      <c r="D36" s="64" t="s">
        <v>29</v>
      </c>
      <c r="E36" s="64" t="s">
        <v>30</v>
      </c>
      <c r="G36" s="64" t="s">
        <v>31</v>
      </c>
    </row>
    <row r="37" spans="1:11" s="46" customFormat="1">
      <c r="A37" s="64" t="s">
        <v>32</v>
      </c>
      <c r="B37" s="64"/>
      <c r="C37" s="64"/>
      <c r="D37" s="64" t="s">
        <v>33</v>
      </c>
      <c r="E37" s="64" t="s">
        <v>34</v>
      </c>
      <c r="G37" s="64" t="s">
        <v>35</v>
      </c>
    </row>
    <row r="38" spans="1:11" s="46" customFormat="1">
      <c r="A38" s="64" t="s">
        <v>36</v>
      </c>
      <c r="B38" s="64"/>
      <c r="C38" s="64"/>
      <c r="D38" s="64" t="s">
        <v>37</v>
      </c>
      <c r="E38" s="64" t="s">
        <v>38</v>
      </c>
      <c r="G38" s="64" t="s">
        <v>39</v>
      </c>
    </row>
    <row r="39" spans="1:11" s="46" customFormat="1">
      <c r="A39" s="64" t="s">
        <v>40</v>
      </c>
      <c r="B39" s="64"/>
      <c r="C39" s="64"/>
      <c r="D39" s="64" t="s">
        <v>41</v>
      </c>
      <c r="E39" s="64" t="s">
        <v>42</v>
      </c>
      <c r="G39" s="64" t="s">
        <v>43</v>
      </c>
    </row>
    <row r="40" spans="1:11" s="46" customFormat="1">
      <c r="A40" s="64" t="s">
        <v>44</v>
      </c>
      <c r="B40" s="64"/>
      <c r="C40" s="64"/>
      <c r="D40" s="64" t="s">
        <v>45</v>
      </c>
      <c r="E40" s="64" t="s">
        <v>46</v>
      </c>
      <c r="G40" s="64" t="s">
        <v>47</v>
      </c>
    </row>
    <row r="41" spans="1:11" s="46" customFormat="1">
      <c r="A41" s="65" t="s">
        <v>48</v>
      </c>
      <c r="B41" s="64"/>
      <c r="C41" s="64"/>
      <c r="D41" s="64" t="s">
        <v>49</v>
      </c>
      <c r="E41" s="64" t="s">
        <v>50</v>
      </c>
      <c r="G41" s="64" t="s">
        <v>51</v>
      </c>
    </row>
    <row r="42" spans="1:11" s="46" customFormat="1">
      <c r="A42" s="64" t="s">
        <v>52</v>
      </c>
      <c r="B42" s="64"/>
      <c r="C42" s="64"/>
      <c r="D42" s="64" t="s">
        <v>53</v>
      </c>
      <c r="E42" s="64" t="s">
        <v>54</v>
      </c>
      <c r="G42" s="64" t="s">
        <v>55</v>
      </c>
    </row>
    <row r="43" spans="1:11" s="46" customFormat="1">
      <c r="B43" s="64"/>
      <c r="C43" s="64"/>
      <c r="D43" s="64" t="s">
        <v>56</v>
      </c>
      <c r="E43" s="64" t="s">
        <v>57</v>
      </c>
      <c r="H43" s="50"/>
    </row>
    <row r="44" spans="1:11" s="46" customFormat="1">
      <c r="A44" s="109" t="s">
        <v>58</v>
      </c>
      <c r="B44" s="109"/>
      <c r="C44" s="109"/>
      <c r="D44" s="109"/>
      <c r="E44" s="109"/>
      <c r="F44" s="109"/>
      <c r="G44" s="109"/>
      <c r="H44" s="109"/>
      <c r="I44" s="109"/>
      <c r="J44" s="104" t="s">
        <v>59</v>
      </c>
      <c r="K44" s="104"/>
    </row>
    <row r="45" spans="1:11" s="46" customFormat="1">
      <c r="A45" s="109"/>
      <c r="B45" s="109"/>
      <c r="C45" s="109"/>
      <c r="D45" s="109"/>
      <c r="E45" s="109"/>
      <c r="F45" s="109"/>
      <c r="G45" s="109"/>
      <c r="H45" s="109"/>
      <c r="I45" s="109"/>
      <c r="J45" s="104"/>
      <c r="K45" s="104"/>
    </row>
    <row r="46" spans="1:11" s="46" customFormat="1">
      <c r="B46" s="64"/>
      <c r="C46" s="64"/>
      <c r="G46" s="103" t="s">
        <v>60</v>
      </c>
      <c r="H46" s="103"/>
      <c r="I46" s="103"/>
      <c r="J46" s="66" t="s">
        <v>61</v>
      </c>
    </row>
    <row r="47" spans="1:11" s="46" customFormat="1">
      <c r="B47" s="64"/>
      <c r="C47" s="64"/>
      <c r="H47" s="50"/>
    </row>
    <row r="48" spans="1:11" s="46" customFormat="1">
      <c r="B48" s="64"/>
      <c r="C48" s="64"/>
      <c r="H48" s="50"/>
    </row>
    <row r="49" spans="2:8" s="46" customFormat="1">
      <c r="B49" s="64"/>
      <c r="C49" s="64"/>
      <c r="H49" s="50"/>
    </row>
    <row r="50" spans="2:8" s="46" customFormat="1">
      <c r="B50" s="64"/>
      <c r="C50" s="64"/>
      <c r="H50" s="50"/>
    </row>
    <row r="51" spans="2:8" s="46" customFormat="1">
      <c r="B51" s="64"/>
      <c r="C51" s="64"/>
      <c r="H51" s="50"/>
    </row>
    <row r="52" spans="2:8" s="46" customFormat="1">
      <c r="B52" s="64"/>
      <c r="C52" s="64"/>
      <c r="H52" s="50"/>
    </row>
    <row r="100" spans="1:4">
      <c r="A100" s="104" t="s">
        <v>62</v>
      </c>
      <c r="B100" s="104"/>
      <c r="C100" s="104"/>
      <c r="D100" s="104"/>
    </row>
    <row r="101" spans="1:4">
      <c r="A101" s="24" t="s">
        <v>63</v>
      </c>
    </row>
  </sheetData>
  <mergeCells count="8">
    <mergeCell ref="G46:I46"/>
    <mergeCell ref="A100:D100"/>
    <mergeCell ref="A1:N1"/>
    <mergeCell ref="N3:O3"/>
    <mergeCell ref="K4:M4"/>
    <mergeCell ref="H7:J11"/>
    <mergeCell ref="A44:I45"/>
    <mergeCell ref="J44:K45"/>
  </mergeCells>
  <phoneticPr fontId="1" type="noConversion"/>
  <hyperlinks>
    <hyperlink ref="A100:D100" r:id="rId1" display="© Олег Оксанич 2005г  www.allok.ru"/>
    <hyperlink ref="J44" r:id="rId2"/>
    <hyperlink ref="J46" r:id="rId3" tooltip="Замечания о программе"/>
  </hyperlinks>
  <pageMargins left="0.75" right="0.75" top="1" bottom="1" header="0.5" footer="0.5"/>
  <pageSetup paperSize="9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детали</vt:lpstr>
      <vt:lpstr>Формула числа прописью (с НДС)</vt:lpstr>
      <vt:lpstr>Формула числа прописью (НДС)</vt:lpstr>
      <vt:lpstr>детали!Заголовки_для_печати</vt:lpstr>
      <vt:lpstr>детали!Область_печати</vt:lpstr>
      <vt:lpstr>'Формула числа прописью (НДС)'!Сегодня</vt:lpstr>
      <vt:lpstr>Сегодня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</dc:creator>
  <cp:lastModifiedBy>Гончарова Галина Гениевна</cp:lastModifiedBy>
  <cp:lastPrinted>2015-05-22T06:18:58Z</cp:lastPrinted>
  <dcterms:created xsi:type="dcterms:W3CDTF">2007-07-02T10:16:52Z</dcterms:created>
  <dcterms:modified xsi:type="dcterms:W3CDTF">2015-05-22T06:19:41Z</dcterms:modified>
</cp:coreProperties>
</file>